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420" yWindow="15" windowWidth="20640" windowHeight="7500" tabRatio="964" activeTab="2"/>
  </bookViews>
  <sheets>
    <sheet name="Naslovnica" sheetId="65120" r:id="rId1"/>
    <sheet name="Sadrzaj" sheetId="65121" r:id="rId2"/>
    <sheet name="Uvod" sheetId="304" r:id="rId3"/>
    <sheet name="CODE" sheetId="65119" state="veryHidden" r:id="rId4"/>
    <sheet name="Prihodi" sheetId="65139" r:id="rId5"/>
    <sheet name="Rashodi" sheetId="300" r:id="rId6"/>
    <sheet name="1" sheetId="16" r:id="rId7"/>
    <sheet name="2" sheetId="65065" r:id="rId8"/>
    <sheet name="4 (S)" sheetId="65066" state="hidden" r:id="rId9"/>
    <sheet name="3" sheetId="65067" r:id="rId10"/>
    <sheet name="4" sheetId="65099" r:id="rId11"/>
    <sheet name="5" sheetId="65123" r:id="rId12"/>
    <sheet name="6" sheetId="65140" r:id="rId13"/>
    <sheet name="7" sheetId="65068" r:id="rId14"/>
    <sheet name="8" sheetId="65069" r:id="rId15"/>
    <sheet name="9" sheetId="65070" r:id="rId16"/>
    <sheet name="10" sheetId="65071" r:id="rId17"/>
    <sheet name="11" sheetId="65074" r:id="rId18"/>
    <sheet name="12" sheetId="65100" r:id="rId19"/>
    <sheet name="13" sheetId="65115" r:id="rId20"/>
    <sheet name="14" sheetId="65141" r:id="rId21"/>
    <sheet name="15" sheetId="65075" r:id="rId22"/>
    <sheet name="16" sheetId="65076" r:id="rId23"/>
    <sheet name="17" sheetId="65077" r:id="rId24"/>
    <sheet name="18" sheetId="65078" r:id="rId25"/>
    <sheet name="19" sheetId="65079" r:id="rId26"/>
    <sheet name="20" sheetId="65080" r:id="rId27"/>
    <sheet name="21" sheetId="65082" r:id="rId28"/>
    <sheet name="22" sheetId="65081" r:id="rId29"/>
    <sheet name="23" sheetId="65122" r:id="rId30"/>
    <sheet name="24" sheetId="65083" r:id="rId31"/>
    <sheet name="25" sheetId="65084" r:id="rId32"/>
    <sheet name="26" sheetId="65085" r:id="rId33"/>
    <sheet name="27" sheetId="65086" r:id="rId34"/>
    <sheet name="28" sheetId="65087" r:id="rId35"/>
    <sheet name="29" sheetId="65088" r:id="rId36"/>
    <sheet name="30" sheetId="65089" r:id="rId37"/>
    <sheet name="31" sheetId="65093" r:id="rId38"/>
    <sheet name="32" sheetId="65094" r:id="rId39"/>
    <sheet name="33" sheetId="65095" r:id="rId40"/>
    <sheet name="34" sheetId="65096" r:id="rId41"/>
    <sheet name="35" sheetId="65097" r:id="rId42"/>
    <sheet name="36" sheetId="65098" r:id="rId43"/>
    <sheet name="37" sheetId="65105" r:id="rId44"/>
    <sheet name="Sumarno" sheetId="65124" r:id="rId45"/>
    <sheet name="Funkcijska" sheetId="65137" r:id="rId46"/>
    <sheet name="Kap.pror." sheetId="65125" r:id="rId47"/>
    <sheet name="Kraj" sheetId="65061" r:id="rId48"/>
  </sheets>
  <definedNames>
    <definedName name="ACCOUNTEDPERIODTYPE1" localSheetId="20">#REF!</definedName>
    <definedName name="ACCOUNTEDPERIODTYPE1" localSheetId="12">#REF!</definedName>
    <definedName name="ACCOUNTEDPERIODTYPE1">#REF!</definedName>
    <definedName name="APPSUSERNAME1" localSheetId="20">#REF!</definedName>
    <definedName name="APPSUSERNAME1" localSheetId="12">#REF!</definedName>
    <definedName name="APPSUSERNAME1">#REF!</definedName>
    <definedName name="BUDGETORGID1" localSheetId="20">#REF!</definedName>
    <definedName name="BUDGETORGID1" localSheetId="12">#REF!</definedName>
    <definedName name="BUDGETORGID1">#REF!</definedName>
    <definedName name="BUDGETORGNAME1" localSheetId="20">#REF!</definedName>
    <definedName name="BUDGETORGNAME1" localSheetId="12">#REF!</definedName>
    <definedName name="BUDGETORGNAME1">#REF!</definedName>
    <definedName name="CHARTOFACCOUNTSID1" localSheetId="20">#REF!</definedName>
    <definedName name="CHARTOFACCOUNTSID1" localSheetId="12">#REF!</definedName>
    <definedName name="CHARTOFACCOUNTSID1">#REF!</definedName>
    <definedName name="CONNECTSTRING1" localSheetId="20">#REF!</definedName>
    <definedName name="CONNECTSTRING1" localSheetId="12">#REF!</definedName>
    <definedName name="CONNECTSTRING1">#REF!</definedName>
    <definedName name="CREATESUMMARYJNLS1" localSheetId="20">#REF!</definedName>
    <definedName name="CREATESUMMARYJNLS1" localSheetId="12">#REF!</definedName>
    <definedName name="CREATESUMMARYJNLS1">#REF!</definedName>
    <definedName name="CRITERIACOLUMN1" localSheetId="20">#REF!</definedName>
    <definedName name="CRITERIACOLUMN1" localSheetId="12">#REF!</definedName>
    <definedName name="CRITERIACOLUMN1">#REF!</definedName>
    <definedName name="DBNAME1" localSheetId="20">#REF!</definedName>
    <definedName name="DBNAME1" localSheetId="12">#REF!</definedName>
    <definedName name="DBNAME1">#REF!</definedName>
    <definedName name="DBUSERNAME1" localSheetId="20">#REF!</definedName>
    <definedName name="DBUSERNAME1" localSheetId="12">#REF!</definedName>
    <definedName name="DBUSERNAME1">#REF!</definedName>
    <definedName name="DELETELOGICTYPE1" localSheetId="20">#REF!</definedName>
    <definedName name="DELETELOGICTYPE1" localSheetId="12">#REF!</definedName>
    <definedName name="DELETELOGICTYPE1">#REF!</definedName>
    <definedName name="FFAPPCOLNAME1_1" localSheetId="20">#REF!</definedName>
    <definedName name="FFAPPCOLNAME1_1" localSheetId="12">#REF!</definedName>
    <definedName name="FFAPPCOLNAME1_1">#REF!</definedName>
    <definedName name="FFAPPCOLNAME2_1" localSheetId="20">#REF!</definedName>
    <definedName name="FFAPPCOLNAME2_1" localSheetId="12">#REF!</definedName>
    <definedName name="FFAPPCOLNAME2_1">#REF!</definedName>
    <definedName name="FFAPPCOLNAME3_1" localSheetId="20">#REF!</definedName>
    <definedName name="FFAPPCOLNAME3_1" localSheetId="12">#REF!</definedName>
    <definedName name="FFAPPCOLNAME3_1">#REF!</definedName>
    <definedName name="FFAPPCOLNAME4_1" localSheetId="20">#REF!</definedName>
    <definedName name="FFAPPCOLNAME4_1" localSheetId="12">#REF!</definedName>
    <definedName name="FFAPPCOLNAME4_1">#REF!</definedName>
    <definedName name="FFAPPCOLNAME5_1" localSheetId="20">#REF!</definedName>
    <definedName name="FFAPPCOLNAME5_1" localSheetId="12">#REF!</definedName>
    <definedName name="FFAPPCOLNAME5_1">#REF!</definedName>
    <definedName name="FFAPPCOLNAME6_1" localSheetId="20">#REF!</definedName>
    <definedName name="FFAPPCOLNAME6_1" localSheetId="12">#REF!</definedName>
    <definedName name="FFAPPCOLNAME6_1">#REF!</definedName>
    <definedName name="FFSEGMENT1_1" localSheetId="20">#REF!</definedName>
    <definedName name="FFSEGMENT1_1" localSheetId="12">#REF!</definedName>
    <definedName name="FFSEGMENT1_1">#REF!</definedName>
    <definedName name="FFSEGMENT2_1" localSheetId="20">#REF!</definedName>
    <definedName name="FFSEGMENT2_1" localSheetId="12">#REF!</definedName>
    <definedName name="FFSEGMENT2_1">#REF!</definedName>
    <definedName name="FFSEGMENT3_1" localSheetId="20">#REF!</definedName>
    <definedName name="FFSEGMENT3_1" localSheetId="12">#REF!</definedName>
    <definedName name="FFSEGMENT3_1">#REF!</definedName>
    <definedName name="FFSEGMENT4_1" localSheetId="20">#REF!</definedName>
    <definedName name="FFSEGMENT4_1" localSheetId="12">#REF!</definedName>
    <definedName name="FFSEGMENT4_1">#REF!</definedName>
    <definedName name="FFSEGMENT5_1" localSheetId="20">#REF!</definedName>
    <definedName name="FFSEGMENT5_1" localSheetId="12">#REF!</definedName>
    <definedName name="FFSEGMENT5_1">#REF!</definedName>
    <definedName name="FFSEGMENT6_1" localSheetId="20">#REF!</definedName>
    <definedName name="FFSEGMENT6_1" localSheetId="12">#REF!</definedName>
    <definedName name="FFSEGMENT6_1">#REF!</definedName>
    <definedName name="FFSEGSEPARATOR1" localSheetId="20">#REF!</definedName>
    <definedName name="FFSEGSEPARATOR1" localSheetId="12">#REF!</definedName>
    <definedName name="FFSEGSEPARATOR1">#REF!</definedName>
    <definedName name="FIELDNAMECOLUMN1" localSheetId="20">#REF!</definedName>
    <definedName name="FIELDNAMECOLUMN1" localSheetId="12">#REF!</definedName>
    <definedName name="FIELDNAMECOLUMN1">#REF!</definedName>
    <definedName name="FIELDNAMEROW1" localSheetId="20">#REF!</definedName>
    <definedName name="FIELDNAMEROW1" localSheetId="12">#REF!</definedName>
    <definedName name="FIELDNAMEROW1">#REF!</definedName>
    <definedName name="FIRSTDATAROW1" localSheetId="20">#REF!</definedName>
    <definedName name="FIRSTDATAROW1" localSheetId="12">#REF!</definedName>
    <definedName name="FIRSTDATAROW1">#REF!</definedName>
    <definedName name="FNDNAM1" localSheetId="20">#REF!</definedName>
    <definedName name="FNDNAM1" localSheetId="12">#REF!</definedName>
    <definedName name="FNDNAM1">#REF!</definedName>
    <definedName name="FNDUSERID1" localSheetId="20">#REF!</definedName>
    <definedName name="FNDUSERID1" localSheetId="12">#REF!</definedName>
    <definedName name="FNDUSERID1">#REF!</definedName>
    <definedName name="FUNCTIONALCURRENCY1" localSheetId="20">#REF!</definedName>
    <definedName name="FUNCTIONALCURRENCY1" localSheetId="12">#REF!</definedName>
    <definedName name="FUNCTIONALCURRENCY1">#REF!</definedName>
    <definedName name="GWYUID1" localSheetId="20">#REF!</definedName>
    <definedName name="GWYUID1" localSheetId="12">#REF!</definedName>
    <definedName name="GWYUID1">#REF!</definedName>
    <definedName name="IMPORTDFF1" localSheetId="20">#REF!</definedName>
    <definedName name="IMPORTDFF1" localSheetId="12">#REF!</definedName>
    <definedName name="IMPORTDFF1">#REF!</definedName>
    <definedName name="_xlnm.Print_Titles" localSheetId="45">Funkcijska!$1:$6</definedName>
    <definedName name="_xlnm.Print_Titles" localSheetId="4">Prihodi!$2:$4</definedName>
    <definedName name="_xlnm.Print_Titles" localSheetId="5">Rashodi!$1:$6</definedName>
    <definedName name="LABELTEXTCOLUMN1" localSheetId="20">#REF!</definedName>
    <definedName name="LABELTEXTCOLUMN1" localSheetId="12">#REF!</definedName>
    <definedName name="LABELTEXTCOLUMN1">#REF!</definedName>
    <definedName name="LABELTEXTROW1" localSheetId="20">#REF!</definedName>
    <definedName name="LABELTEXTROW1" localSheetId="12">#REF!</definedName>
    <definedName name="LABELTEXTROW1">#REF!</definedName>
    <definedName name="NOOFFFSEGMENTS1" localSheetId="20">#REF!</definedName>
    <definedName name="NOOFFFSEGMENTS1" localSheetId="12">#REF!</definedName>
    <definedName name="NOOFFFSEGMENTS1">#REF!</definedName>
    <definedName name="NUMBEROFDETAILFIELDS1" localSheetId="20">#REF!</definedName>
    <definedName name="NUMBEROFDETAILFIELDS1" localSheetId="12">#REF!</definedName>
    <definedName name="NUMBEROFDETAILFIELDS1">#REF!</definedName>
    <definedName name="NUMBEROFHEADERFIELDS1" localSheetId="20">#REF!</definedName>
    <definedName name="NUMBEROFHEADERFIELDS1" localSheetId="12">#REF!</definedName>
    <definedName name="NUMBEROFHEADERFIELDS1">#REF!</definedName>
    <definedName name="PERIODSETNAME1" localSheetId="20">#REF!</definedName>
    <definedName name="PERIODSETNAME1" localSheetId="12">#REF!</definedName>
    <definedName name="PERIODSETNAME1">#REF!</definedName>
    <definedName name="_xlnm.Print_Area" localSheetId="21">'15'!$A$1:$N$46</definedName>
    <definedName name="_xlnm.Print_Area" localSheetId="22">'16'!$A$1:$N$54</definedName>
    <definedName name="_xlnm.Print_Area" localSheetId="23">'17'!$A$1:$N$44</definedName>
    <definedName name="_xlnm.Print_Area" localSheetId="27">'21'!$A$1:$N$36</definedName>
    <definedName name="_xlnm.Print_Area" localSheetId="45">Funkcijska!$A$7:$G$106</definedName>
    <definedName name="_xlnm.Print_Area" localSheetId="47">Kraj!$A$1:$H$22</definedName>
    <definedName name="_xlnm.Print_Area" localSheetId="4">Prihodi!$B$4:$G$247</definedName>
    <definedName name="_xlnm.Print_Area" localSheetId="5">Rashodi!$C$7:$K$122</definedName>
    <definedName name="_xlnm.Print_Area" localSheetId="1">Sadrzaj!$A$1:$U$32</definedName>
    <definedName name="_xlnm.Print_Area" localSheetId="2">Uvod!$B$1:$G$46</definedName>
    <definedName name="POSTERRORSTOSUSP1" localSheetId="20">#REF!</definedName>
    <definedName name="POSTERRORSTOSUSP1" localSheetId="12">#REF!</definedName>
    <definedName name="POSTERRORSTOSUSP1">#REF!</definedName>
    <definedName name="RESPONSIBILITYAPPLICATIONID1" localSheetId="20">#REF!</definedName>
    <definedName name="RESPONSIBILITYAPPLICATIONID1" localSheetId="12">#REF!</definedName>
    <definedName name="RESPONSIBILITYAPPLICATIONID1">#REF!</definedName>
    <definedName name="RESPONSIBILITYID1" localSheetId="20">#REF!</definedName>
    <definedName name="RESPONSIBILITYID1" localSheetId="12">#REF!</definedName>
    <definedName name="RESPONSIBILITYID1">#REF!</definedName>
    <definedName name="RESPONSIBILITYNAME1" localSheetId="20">#REF!</definedName>
    <definedName name="RESPONSIBILITYNAME1" localSheetId="12">#REF!</definedName>
    <definedName name="RESPONSIBILITYNAME1">#REF!</definedName>
    <definedName name="ROWSTOUPLOAD1" localSheetId="20">#REF!</definedName>
    <definedName name="ROWSTOUPLOAD1" localSheetId="12">#REF!</definedName>
    <definedName name="ROWSTOUPLOAD1">#REF!</definedName>
    <definedName name="SETOFBOOKSID1" localSheetId="20">#REF!</definedName>
    <definedName name="SETOFBOOKSID1" localSheetId="12">#REF!</definedName>
    <definedName name="SETOFBOOKSID1">#REF!</definedName>
    <definedName name="SETOFBOOKSNAME1" localSheetId="20">#REF!</definedName>
    <definedName name="SETOFBOOKSNAME1" localSheetId="12">#REF!</definedName>
    <definedName name="SETOFBOOKSNAME1">#REF!</definedName>
    <definedName name="STARTJOURNALIMPORT1" localSheetId="20">#REF!</definedName>
    <definedName name="STARTJOURNALIMPORT1" localSheetId="12">#REF!</definedName>
    <definedName name="STARTJOURNALIMPORT1">#REF!</definedName>
    <definedName name="TEMPLATENUMBER1" localSheetId="20">#REF!</definedName>
    <definedName name="TEMPLATENUMBER1" localSheetId="12">#REF!</definedName>
    <definedName name="TEMPLATENUMBER1">#REF!</definedName>
    <definedName name="TEMPLATESTYLE1" localSheetId="20">#REF!</definedName>
    <definedName name="TEMPLATESTYLE1" localSheetId="12">#REF!</definedName>
    <definedName name="TEMPLATESTYLE1">#REF!</definedName>
    <definedName name="TEMPLATETYPE1" localSheetId="20">#REF!</definedName>
    <definedName name="TEMPLATETYPE1" localSheetId="12">#REF!</definedName>
    <definedName name="TEMPLATETYPE1">#REF!</definedName>
  </definedNames>
  <calcPr calcId="124519"/>
</workbook>
</file>

<file path=xl/calcChain.xml><?xml version="1.0" encoding="utf-8"?>
<calcChain xmlns="http://schemas.openxmlformats.org/spreadsheetml/2006/main">
  <c r="F52" i="65139"/>
  <c r="G119"/>
  <c r="G118"/>
  <c r="G117"/>
  <c r="G116"/>
  <c r="G115"/>
  <c r="K14" i="65087"/>
  <c r="K9"/>
  <c r="K9" i="65086"/>
  <c r="K14" i="65085"/>
  <c r="K9"/>
  <c r="K14" i="65083"/>
  <c r="K9"/>
  <c r="J102" i="300"/>
  <c r="I102"/>
  <c r="H102"/>
  <c r="G102"/>
  <c r="J101"/>
  <c r="I101"/>
  <c r="H101"/>
  <c r="G101"/>
  <c r="F102"/>
  <c r="F101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I26"/>
  <c r="H26"/>
  <c r="G26"/>
  <c r="F41"/>
  <c r="F38"/>
  <c r="F35"/>
  <c r="F33"/>
  <c r="F32"/>
  <c r="F30"/>
  <c r="F28"/>
  <c r="F27"/>
  <c r="F26"/>
  <c r="I22"/>
  <c r="H22"/>
  <c r="G22"/>
  <c r="F22"/>
  <c r="J19"/>
  <c r="I19"/>
  <c r="H19"/>
  <c r="G19"/>
  <c r="F19"/>
  <c r="J18"/>
  <c r="I18"/>
  <c r="H18"/>
  <c r="G18"/>
  <c r="F18"/>
  <c r="I16"/>
  <c r="H16"/>
  <c r="G16"/>
  <c r="F16"/>
  <c r="K9" i="65095"/>
  <c r="E76" i="65137" l="1"/>
  <c r="E69"/>
  <c r="K14" i="65080"/>
  <c r="K9"/>
  <c r="K24" i="65087"/>
  <c r="K24" i="65122"/>
  <c r="K24" i="65082"/>
  <c r="F31" i="300"/>
  <c r="K31"/>
  <c r="N21" i="65080"/>
  <c r="M21"/>
  <c r="F200" i="65139"/>
  <c r="F152" l="1"/>
  <c r="G152"/>
  <c r="K30" i="65083" l="1"/>
  <c r="F137" i="65139"/>
  <c r="F54"/>
  <c r="I103" i="300"/>
  <c r="H103"/>
  <c r="G103"/>
  <c r="F103"/>
  <c r="G104"/>
  <c r="H104"/>
  <c r="I104"/>
  <c r="J104"/>
  <c r="K103" l="1"/>
  <c r="M35" i="65095"/>
  <c r="K10" i="65098"/>
  <c r="K14"/>
  <c r="K9"/>
  <c r="K10" i="65071"/>
  <c r="K14"/>
  <c r="K9"/>
  <c r="K30" i="65084"/>
  <c r="K29"/>
  <c r="K30" i="65122"/>
  <c r="K30" i="65081"/>
  <c r="K30" i="65082"/>
  <c r="K10" i="65080"/>
  <c r="K10" i="65078"/>
  <c r="K14"/>
  <c r="K9"/>
  <c r="K10" i="65093"/>
  <c r="K14"/>
  <c r="K9"/>
  <c r="K31" i="65077"/>
  <c r="K48" i="65065"/>
  <c r="D21" i="65125"/>
  <c r="C21" s="1"/>
  <c r="E70" i="65137"/>
  <c r="F104" i="300"/>
  <c r="E11" i="65137"/>
  <c r="J19" i="65124"/>
  <c r="E19"/>
  <c r="D19"/>
  <c r="C19"/>
  <c r="I25" i="300"/>
  <c r="G25"/>
  <c r="F29"/>
  <c r="I23"/>
  <c r="H23"/>
  <c r="G23"/>
  <c r="F23"/>
  <c r="K10" i="65141"/>
  <c r="K14"/>
  <c r="K9"/>
  <c r="N31"/>
  <c r="M30"/>
  <c r="N30" s="1"/>
  <c r="N29"/>
  <c r="M29"/>
  <c r="M28"/>
  <c r="L28"/>
  <c r="K28"/>
  <c r="J28"/>
  <c r="N28" s="1"/>
  <c r="I28"/>
  <c r="N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M16" s="1"/>
  <c r="L16"/>
  <c r="K16"/>
  <c r="F19" i="65124" s="1"/>
  <c r="J16" i="65141"/>
  <c r="N16" s="1"/>
  <c r="I16"/>
  <c r="N15"/>
  <c r="M14"/>
  <c r="N14" s="1"/>
  <c r="L13"/>
  <c r="L33" s="1"/>
  <c r="L34" s="1"/>
  <c r="K13"/>
  <c r="J13"/>
  <c r="I13"/>
  <c r="N12"/>
  <c r="N11"/>
  <c r="M11"/>
  <c r="M10"/>
  <c r="N10" s="1"/>
  <c r="M9"/>
  <c r="L8"/>
  <c r="K8"/>
  <c r="J8"/>
  <c r="I8"/>
  <c r="I33" s="1"/>
  <c r="I34" s="1"/>
  <c r="K10" i="65094"/>
  <c r="K14"/>
  <c r="K9"/>
  <c r="K10" i="65095"/>
  <c r="K14"/>
  <c r="K10" i="65123"/>
  <c r="K14"/>
  <c r="K9"/>
  <c r="K14" i="65070"/>
  <c r="K9"/>
  <c r="K10"/>
  <c r="K10" i="65097"/>
  <c r="K14"/>
  <c r="K9"/>
  <c r="K14" i="65100"/>
  <c r="K9"/>
  <c r="K10" i="65096"/>
  <c r="K14"/>
  <c r="K9"/>
  <c r="F91" i="65139"/>
  <c r="F112"/>
  <c r="K17" i="65076"/>
  <c r="K13"/>
  <c r="K12"/>
  <c r="K10" i="16"/>
  <c r="K14"/>
  <c r="K9"/>
  <c r="K14" i="65105"/>
  <c r="K9"/>
  <c r="K14" i="65069"/>
  <c r="K9"/>
  <c r="K14" i="65068"/>
  <c r="K9"/>
  <c r="K10" i="65105"/>
  <c r="K14" i="65089"/>
  <c r="K9"/>
  <c r="K10"/>
  <c r="K14" i="65088"/>
  <c r="K9"/>
  <c r="K10"/>
  <c r="K10" i="65087"/>
  <c r="K10" i="65086"/>
  <c r="K10" i="65085"/>
  <c r="K14" i="65084"/>
  <c r="K9"/>
  <c r="K10"/>
  <c r="K10" i="65083"/>
  <c r="K14" i="65122"/>
  <c r="K9"/>
  <c r="K10"/>
  <c r="K14" i="65081"/>
  <c r="K9"/>
  <c r="K10"/>
  <c r="K14" i="65082"/>
  <c r="K9"/>
  <c r="K10"/>
  <c r="K10" i="65075"/>
  <c r="K14" i="65115"/>
  <c r="K9"/>
  <c r="K10"/>
  <c r="K10" i="65069"/>
  <c r="K10" i="65068"/>
  <c r="K14" i="65086"/>
  <c r="I17" i="300" l="1"/>
  <c r="L19" i="65124"/>
  <c r="H25" i="300"/>
  <c r="N35" i="65095"/>
  <c r="J103" i="300"/>
  <c r="K33" i="65141"/>
  <c r="K34" s="1"/>
  <c r="J33"/>
  <c r="J34" s="1"/>
  <c r="N9"/>
  <c r="M8"/>
  <c r="M13"/>
  <c r="N13" s="1"/>
  <c r="K10" i="65079"/>
  <c r="K14"/>
  <c r="K9"/>
  <c r="K10" i="65077"/>
  <c r="K14"/>
  <c r="K9"/>
  <c r="M33" i="65141" l="1"/>
  <c r="F11" i="65137" s="1"/>
  <c r="N8" i="65141"/>
  <c r="K14" i="65075"/>
  <c r="K9"/>
  <c r="K10" i="65100"/>
  <c r="K10" i="65074"/>
  <c r="K14"/>
  <c r="K9"/>
  <c r="K10" i="65140"/>
  <c r="K14"/>
  <c r="K9"/>
  <c r="K10" i="65099"/>
  <c r="K14"/>
  <c r="K9"/>
  <c r="K10" i="65067"/>
  <c r="K14"/>
  <c r="K9"/>
  <c r="K15" i="65065"/>
  <c r="K19"/>
  <c r="K14"/>
  <c r="M34" i="65141" l="1"/>
  <c r="N33"/>
  <c r="G192" i="65139"/>
  <c r="F141"/>
  <c r="N34" i="65141" l="1"/>
  <c r="L28" i="16"/>
  <c r="K28"/>
  <c r="J28"/>
  <c r="I28"/>
  <c r="M31"/>
  <c r="N31" s="1"/>
  <c r="E241" i="65139"/>
  <c r="E240" s="1"/>
  <c r="E239" s="1"/>
  <c r="E238" s="1"/>
  <c r="E232"/>
  <c r="E229"/>
  <c r="E228" s="1"/>
  <c r="E226"/>
  <c r="E221"/>
  <c r="E220"/>
  <c r="E219" s="1"/>
  <c r="E212"/>
  <c r="E211" s="1"/>
  <c r="E210" s="1"/>
  <c r="E203"/>
  <c r="E202" s="1"/>
  <c r="E201" s="1"/>
  <c r="E200"/>
  <c r="E199"/>
  <c r="E198" s="1"/>
  <c r="E196"/>
  <c r="E195"/>
  <c r="E188" s="1"/>
  <c r="E185"/>
  <c r="E180"/>
  <c r="E178"/>
  <c r="E167"/>
  <c r="E166" s="1"/>
  <c r="E161"/>
  <c r="E155"/>
  <c r="E153" s="1"/>
  <c r="E149"/>
  <c r="E146"/>
  <c r="E143"/>
  <c r="E141"/>
  <c r="E140"/>
  <c r="E139" s="1"/>
  <c r="E138" s="1"/>
  <c r="E137"/>
  <c r="E136"/>
  <c r="E135" s="1"/>
  <c r="E134"/>
  <c r="E133" s="1"/>
  <c r="E131"/>
  <c r="E129"/>
  <c r="E126"/>
  <c r="E123"/>
  <c r="E122"/>
  <c r="E121" s="1"/>
  <c r="E120"/>
  <c r="G120" s="1"/>
  <c r="E114"/>
  <c r="G114" s="1"/>
  <c r="E113"/>
  <c r="G113" s="1"/>
  <c r="E112"/>
  <c r="E111"/>
  <c r="E110" s="1"/>
  <c r="E109" s="1"/>
  <c r="E107"/>
  <c r="E104" s="1"/>
  <c r="E101"/>
  <c r="E98"/>
  <c r="E97" s="1"/>
  <c r="E94"/>
  <c r="E92"/>
  <c r="E91"/>
  <c r="E90" s="1"/>
  <c r="E89" s="1"/>
  <c r="E85"/>
  <c r="E84" s="1"/>
  <c r="E83"/>
  <c r="E82" s="1"/>
  <c r="E79"/>
  <c r="E77"/>
  <c r="E75"/>
  <c r="E72"/>
  <c r="E68"/>
  <c r="E64"/>
  <c r="E63"/>
  <c r="E57"/>
  <c r="E56" s="1"/>
  <c r="E55"/>
  <c r="E53" s="1"/>
  <c r="E49"/>
  <c r="E46"/>
  <c r="E45"/>
  <c r="E44"/>
  <c r="E40"/>
  <c r="E36"/>
  <c r="E35"/>
  <c r="E34" s="1"/>
  <c r="E29"/>
  <c r="E28" s="1"/>
  <c r="E27"/>
  <c r="E26"/>
  <c r="E25"/>
  <c r="E24"/>
  <c r="E23"/>
  <c r="E22"/>
  <c r="E21" s="1"/>
  <c r="E20" s="1"/>
  <c r="E17"/>
  <c r="E16" s="1"/>
  <c r="E14"/>
  <c r="E13" s="1"/>
  <c r="E7"/>
  <c r="E6" s="1"/>
  <c r="D241"/>
  <c r="D240" s="1"/>
  <c r="D239" s="1"/>
  <c r="D238" s="1"/>
  <c r="D232"/>
  <c r="D229"/>
  <c r="D228" s="1"/>
  <c r="D226"/>
  <c r="D221"/>
  <c r="D220"/>
  <c r="D219" s="1"/>
  <c r="D212"/>
  <c r="D211" s="1"/>
  <c r="D210" s="1"/>
  <c r="D203"/>
  <c r="D202" s="1"/>
  <c r="D201" s="1"/>
  <c r="D200"/>
  <c r="D199"/>
  <c r="D198" s="1"/>
  <c r="D196"/>
  <c r="D195"/>
  <c r="D188" s="1"/>
  <c r="D185"/>
  <c r="D180"/>
  <c r="D178"/>
  <c r="D167"/>
  <c r="D166" s="1"/>
  <c r="D161"/>
  <c r="D155"/>
  <c r="D153" s="1"/>
  <c r="D149"/>
  <c r="D146"/>
  <c r="D143"/>
  <c r="D141"/>
  <c r="D140"/>
  <c r="D139" s="1"/>
  <c r="D138" s="1"/>
  <c r="D137"/>
  <c r="D136"/>
  <c r="D135" s="1"/>
  <c r="D134"/>
  <c r="D133" s="1"/>
  <c r="D131"/>
  <c r="D129"/>
  <c r="D126"/>
  <c r="D123"/>
  <c r="D122"/>
  <c r="D121" s="1"/>
  <c r="D120"/>
  <c r="D114"/>
  <c r="D113"/>
  <c r="D112"/>
  <c r="D111"/>
  <c r="D110" s="1"/>
  <c r="D109" s="1"/>
  <c r="D107"/>
  <c r="D104" s="1"/>
  <c r="D101"/>
  <c r="D98"/>
  <c r="D97" s="1"/>
  <c r="D94"/>
  <c r="D92"/>
  <c r="D91"/>
  <c r="D90" s="1"/>
  <c r="D89" s="1"/>
  <c r="D85"/>
  <c r="D84" s="1"/>
  <c r="D83"/>
  <c r="D82" s="1"/>
  <c r="D79"/>
  <c r="D77"/>
  <c r="D75"/>
  <c r="D72"/>
  <c r="D68"/>
  <c r="D64"/>
  <c r="D63"/>
  <c r="D57"/>
  <c r="D56" s="1"/>
  <c r="D55"/>
  <c r="D53" s="1"/>
  <c r="D49"/>
  <c r="D46"/>
  <c r="D45"/>
  <c r="D44"/>
  <c r="D40"/>
  <c r="D36"/>
  <c r="D35"/>
  <c r="D34" s="1"/>
  <c r="D29"/>
  <c r="D28" s="1"/>
  <c r="D27"/>
  <c r="D26"/>
  <c r="D25"/>
  <c r="D24"/>
  <c r="D23"/>
  <c r="D22"/>
  <c r="D21" s="1"/>
  <c r="D20" s="1"/>
  <c r="D17"/>
  <c r="D16" s="1"/>
  <c r="D14"/>
  <c r="D13" s="1"/>
  <c r="D7"/>
  <c r="D6" s="1"/>
  <c r="J28" i="65105"/>
  <c r="J16"/>
  <c r="J13"/>
  <c r="J8"/>
  <c r="J28" i="65098"/>
  <c r="J16"/>
  <c r="J13"/>
  <c r="J8"/>
  <c r="J28" i="65097"/>
  <c r="J16"/>
  <c r="J13"/>
  <c r="J8"/>
  <c r="J28" i="65096"/>
  <c r="J16"/>
  <c r="J13"/>
  <c r="J8"/>
  <c r="J32" i="65095"/>
  <c r="J28"/>
  <c r="J16"/>
  <c r="J13"/>
  <c r="J8"/>
  <c r="J28" i="65094"/>
  <c r="J16"/>
  <c r="J13"/>
  <c r="J8"/>
  <c r="J31" i="65093"/>
  <c r="J28"/>
  <c r="J16"/>
  <c r="J13"/>
  <c r="J8"/>
  <c r="J28" i="65089"/>
  <c r="J16"/>
  <c r="J13"/>
  <c r="J8"/>
  <c r="J28" i="65088"/>
  <c r="J16"/>
  <c r="J13"/>
  <c r="J8"/>
  <c r="J28" i="65087"/>
  <c r="J16"/>
  <c r="J13"/>
  <c r="J8"/>
  <c r="J28" i="65086"/>
  <c r="J16"/>
  <c r="J13"/>
  <c r="J8"/>
  <c r="J28" i="65085"/>
  <c r="J16"/>
  <c r="J13"/>
  <c r="J8"/>
  <c r="J28" i="65084"/>
  <c r="J16"/>
  <c r="J13"/>
  <c r="J8"/>
  <c r="J28" i="65083"/>
  <c r="J16"/>
  <c r="J13"/>
  <c r="J8"/>
  <c r="J28" i="65122"/>
  <c r="J16"/>
  <c r="J13"/>
  <c r="J8"/>
  <c r="J28" i="65081"/>
  <c r="J16"/>
  <c r="J13"/>
  <c r="J8"/>
  <c r="J28" i="65082"/>
  <c r="J16"/>
  <c r="J13"/>
  <c r="J8"/>
  <c r="J41" i="65080"/>
  <c r="J31"/>
  <c r="J16"/>
  <c r="J13"/>
  <c r="J8"/>
  <c r="J38" i="65079"/>
  <c r="J34"/>
  <c r="J28"/>
  <c r="J16"/>
  <c r="J13"/>
  <c r="J8"/>
  <c r="J32" i="65078"/>
  <c r="J29"/>
  <c r="J16"/>
  <c r="J13"/>
  <c r="J8"/>
  <c r="J34" i="65077"/>
  <c r="J28"/>
  <c r="J16"/>
  <c r="J13"/>
  <c r="J8"/>
  <c r="J45" i="65076"/>
  <c r="J41"/>
  <c r="J37"/>
  <c r="J32"/>
  <c r="J19"/>
  <c r="J16"/>
  <c r="J11"/>
  <c r="J8"/>
  <c r="J36" i="65075"/>
  <c r="J33"/>
  <c r="J29"/>
  <c r="J16"/>
  <c r="J13"/>
  <c r="J8"/>
  <c r="J28" i="65115"/>
  <c r="J16"/>
  <c r="J13"/>
  <c r="J8"/>
  <c r="J28" i="65100"/>
  <c r="J16"/>
  <c r="J13"/>
  <c r="J8"/>
  <c r="J28" i="65074"/>
  <c r="J16"/>
  <c r="J13"/>
  <c r="J8"/>
  <c r="J29" i="65071"/>
  <c r="J16"/>
  <c r="J13"/>
  <c r="J8"/>
  <c r="J30" i="65070"/>
  <c r="J16"/>
  <c r="J13"/>
  <c r="J8"/>
  <c r="J29" i="65069"/>
  <c r="J17"/>
  <c r="J13"/>
  <c r="J8"/>
  <c r="J28" i="65068"/>
  <c r="J16"/>
  <c r="J13"/>
  <c r="J8"/>
  <c r="J31" i="65140"/>
  <c r="J28"/>
  <c r="J16"/>
  <c r="J13"/>
  <c r="J8"/>
  <c r="J28" i="65123"/>
  <c r="J16"/>
  <c r="J13"/>
  <c r="J8"/>
  <c r="J28" i="65099"/>
  <c r="J16"/>
  <c r="J13"/>
  <c r="J8"/>
  <c r="J28" i="65067"/>
  <c r="J16"/>
  <c r="J13"/>
  <c r="J8"/>
  <c r="J46" i="65065"/>
  <c r="J43"/>
  <c r="J34"/>
  <c r="J21"/>
  <c r="J18"/>
  <c r="J13"/>
  <c r="J8"/>
  <c r="J26" i="16"/>
  <c r="J16" s="1"/>
  <c r="J13"/>
  <c r="J11"/>
  <c r="J8"/>
  <c r="D184" i="65139" l="1"/>
  <c r="E184"/>
  <c r="D39"/>
  <c r="D38" s="1"/>
  <c r="D87"/>
  <c r="D86" s="1"/>
  <c r="D177"/>
  <c r="D176" s="1"/>
  <c r="E39"/>
  <c r="E38" s="1"/>
  <c r="E87"/>
  <c r="E177"/>
  <c r="E176" s="1"/>
  <c r="E48"/>
  <c r="E47" s="1"/>
  <c r="E86"/>
  <c r="E128"/>
  <c r="E183"/>
  <c r="E182" s="1"/>
  <c r="E175" s="1"/>
  <c r="E209"/>
  <c r="E5"/>
  <c r="E103"/>
  <c r="D48"/>
  <c r="D47" s="1"/>
  <c r="D5" s="1"/>
  <c r="D128"/>
  <c r="D103" s="1"/>
  <c r="D183"/>
  <c r="D182" s="1"/>
  <c r="D175" s="1"/>
  <c r="D209"/>
  <c r="L13" i="65069"/>
  <c r="K13"/>
  <c r="I13"/>
  <c r="M15"/>
  <c r="E81" i="65139" l="1"/>
  <c r="E62" s="1"/>
  <c r="D81"/>
  <c r="D62" s="1"/>
  <c r="N15" i="65069"/>
  <c r="J23" i="300"/>
  <c r="K23" s="1"/>
  <c r="E173" i="65139"/>
  <c r="E236" s="1"/>
  <c r="E247" s="1"/>
  <c r="D173"/>
  <c r="D236" s="1"/>
  <c r="D247" s="1"/>
  <c r="F185" l="1"/>
  <c r="G187"/>
  <c r="F143" l="1"/>
  <c r="F146"/>
  <c r="F149"/>
  <c r="G151"/>
  <c r="G150"/>
  <c r="G148"/>
  <c r="G147"/>
  <c r="G145"/>
  <c r="G144"/>
  <c r="G78" l="1"/>
  <c r="F77"/>
  <c r="G77" s="1"/>
  <c r="F135" l="1"/>
  <c r="F203" l="1"/>
  <c r="G244"/>
  <c r="G246" l="1"/>
  <c r="G245"/>
  <c r="G243"/>
  <c r="G242"/>
  <c r="F241"/>
  <c r="F240" s="1"/>
  <c r="F239" s="1"/>
  <c r="F238" s="1"/>
  <c r="F29" i="304" s="1"/>
  <c r="G240" i="65139"/>
  <c r="G238"/>
  <c r="G237"/>
  <c r="G235"/>
  <c r="G234"/>
  <c r="G233"/>
  <c r="F232"/>
  <c r="F19" i="304" s="1"/>
  <c r="G231" i="65139"/>
  <c r="G230"/>
  <c r="F229"/>
  <c r="F228" s="1"/>
  <c r="G229"/>
  <c r="G228"/>
  <c r="G227"/>
  <c r="F226"/>
  <c r="G226"/>
  <c r="G225"/>
  <c r="G224"/>
  <c r="G223"/>
  <c r="G222"/>
  <c r="F221"/>
  <c r="G218"/>
  <c r="G217"/>
  <c r="G216"/>
  <c r="G215"/>
  <c r="G214"/>
  <c r="G213"/>
  <c r="F212"/>
  <c r="F211" s="1"/>
  <c r="F210" s="1"/>
  <c r="G208"/>
  <c r="G207"/>
  <c r="G203"/>
  <c r="F202"/>
  <c r="F201" s="1"/>
  <c r="G200"/>
  <c r="G199"/>
  <c r="F198"/>
  <c r="G197"/>
  <c r="F196"/>
  <c r="G196"/>
  <c r="G195"/>
  <c r="G194"/>
  <c r="G193"/>
  <c r="G191"/>
  <c r="G190"/>
  <c r="G189"/>
  <c r="F188"/>
  <c r="F184" s="1"/>
  <c r="G186"/>
  <c r="G181"/>
  <c r="F180"/>
  <c r="G179"/>
  <c r="F178"/>
  <c r="F177" s="1"/>
  <c r="F176" s="1"/>
  <c r="G178"/>
  <c r="G174"/>
  <c r="G172"/>
  <c r="G171"/>
  <c r="G170"/>
  <c r="G169"/>
  <c r="G168"/>
  <c r="F167"/>
  <c r="F166" s="1"/>
  <c r="G165"/>
  <c r="G164"/>
  <c r="G163"/>
  <c r="G162"/>
  <c r="F161"/>
  <c r="G160"/>
  <c r="G159"/>
  <c r="G158"/>
  <c r="G157"/>
  <c r="G156"/>
  <c r="G155"/>
  <c r="G154"/>
  <c r="F153"/>
  <c r="G149"/>
  <c r="G146"/>
  <c r="G143"/>
  <c r="G142"/>
  <c r="G141"/>
  <c r="G140"/>
  <c r="F139"/>
  <c r="F138" s="1"/>
  <c r="G137"/>
  <c r="G136"/>
  <c r="G134"/>
  <c r="F133"/>
  <c r="G132"/>
  <c r="F131"/>
  <c r="G130"/>
  <c r="F129"/>
  <c r="G127"/>
  <c r="F126"/>
  <c r="G125"/>
  <c r="G124"/>
  <c r="G123"/>
  <c r="G122"/>
  <c r="F121"/>
  <c r="G112"/>
  <c r="G111"/>
  <c r="F110"/>
  <c r="F109" s="1"/>
  <c r="G108"/>
  <c r="G107"/>
  <c r="G106"/>
  <c r="G105"/>
  <c r="F104"/>
  <c r="G102"/>
  <c r="G101"/>
  <c r="G100"/>
  <c r="G99"/>
  <c r="F98"/>
  <c r="F97" s="1"/>
  <c r="G96"/>
  <c r="G95"/>
  <c r="F94"/>
  <c r="G93"/>
  <c r="G92"/>
  <c r="G91"/>
  <c r="G90"/>
  <c r="F89"/>
  <c r="G88"/>
  <c r="F87"/>
  <c r="G85"/>
  <c r="F84"/>
  <c r="G83"/>
  <c r="F82"/>
  <c r="G80"/>
  <c r="F79"/>
  <c r="G76"/>
  <c r="F75"/>
  <c r="G74"/>
  <c r="G73"/>
  <c r="F72"/>
  <c r="G71"/>
  <c r="G70"/>
  <c r="G69"/>
  <c r="F68"/>
  <c r="G67"/>
  <c r="G66"/>
  <c r="G65"/>
  <c r="F64"/>
  <c r="G61"/>
  <c r="G60"/>
  <c r="G59"/>
  <c r="G58"/>
  <c r="F57"/>
  <c r="F56" s="1"/>
  <c r="G55"/>
  <c r="G54"/>
  <c r="G52"/>
  <c r="G51"/>
  <c r="G50"/>
  <c r="F49"/>
  <c r="G46"/>
  <c r="G45"/>
  <c r="G44"/>
  <c r="G43"/>
  <c r="G42"/>
  <c r="G41"/>
  <c r="G40"/>
  <c r="F39"/>
  <c r="F38" s="1"/>
  <c r="G37"/>
  <c r="F36"/>
  <c r="G35"/>
  <c r="F34"/>
  <c r="G33"/>
  <c r="G32"/>
  <c r="G31"/>
  <c r="G30"/>
  <c r="F29"/>
  <c r="G27"/>
  <c r="G26"/>
  <c r="G25"/>
  <c r="G24"/>
  <c r="G23"/>
  <c r="G22"/>
  <c r="F21"/>
  <c r="F20" s="1"/>
  <c r="G19"/>
  <c r="G18"/>
  <c r="F17"/>
  <c r="F16" s="1"/>
  <c r="G15"/>
  <c r="G14"/>
  <c r="F13"/>
  <c r="G12"/>
  <c r="G11"/>
  <c r="G10"/>
  <c r="G9"/>
  <c r="G8"/>
  <c r="F7"/>
  <c r="G239" l="1"/>
  <c r="G241"/>
  <c r="F128"/>
  <c r="F103" s="1"/>
  <c r="G202"/>
  <c r="F183"/>
  <c r="F182" s="1"/>
  <c r="F175" s="1"/>
  <c r="F17" i="304" s="1"/>
  <c r="F28" i="65139"/>
  <c r="G28" s="1"/>
  <c r="G34"/>
  <c r="G36"/>
  <c r="F63"/>
  <c r="G75"/>
  <c r="G79"/>
  <c r="G180"/>
  <c r="G185"/>
  <c r="F220"/>
  <c r="F219" s="1"/>
  <c r="F209" s="1"/>
  <c r="F18" i="304" s="1"/>
  <c r="G221" i="65139"/>
  <c r="G57"/>
  <c r="G49"/>
  <c r="F6"/>
  <c r="G198"/>
  <c r="G161"/>
  <c r="G153"/>
  <c r="G138"/>
  <c r="G135"/>
  <c r="G133"/>
  <c r="G131"/>
  <c r="G129"/>
  <c r="G121"/>
  <c r="G87"/>
  <c r="G89"/>
  <c r="F86"/>
  <c r="G86" s="1"/>
  <c r="G72"/>
  <c r="G68"/>
  <c r="G232"/>
  <c r="G188"/>
  <c r="G167"/>
  <c r="G6"/>
  <c r="G16"/>
  <c r="G20"/>
  <c r="G38"/>
  <c r="G64"/>
  <c r="G82"/>
  <c r="G97"/>
  <c r="G109"/>
  <c r="G139"/>
  <c r="G177"/>
  <c r="G7"/>
  <c r="G13"/>
  <c r="G17"/>
  <c r="G21"/>
  <c r="G29"/>
  <c r="G39"/>
  <c r="G56"/>
  <c r="G84"/>
  <c r="G94"/>
  <c r="G98"/>
  <c r="G104"/>
  <c r="G110"/>
  <c r="G126"/>
  <c r="G201"/>
  <c r="G212"/>
  <c r="G220"/>
  <c r="G219" l="1"/>
  <c r="G63"/>
  <c r="F81"/>
  <c r="F62" s="1"/>
  <c r="G128"/>
  <c r="G103"/>
  <c r="G184"/>
  <c r="G166"/>
  <c r="G176"/>
  <c r="G211"/>
  <c r="F16" i="304" l="1"/>
  <c r="G210" i="65139"/>
  <c r="G209"/>
  <c r="G183"/>
  <c r="G81" l="1"/>
  <c r="G62"/>
  <c r="G182"/>
  <c r="G175"/>
  <c r="L28" i="65105" l="1"/>
  <c r="K28"/>
  <c r="L16"/>
  <c r="K16"/>
  <c r="L13"/>
  <c r="K13"/>
  <c r="K8"/>
  <c r="L8"/>
  <c r="I28"/>
  <c r="I16"/>
  <c r="I13"/>
  <c r="I8"/>
  <c r="L28" i="65098"/>
  <c r="K28"/>
  <c r="L16"/>
  <c r="K16"/>
  <c r="L13"/>
  <c r="K13"/>
  <c r="K8"/>
  <c r="L8"/>
  <c r="I28"/>
  <c r="I16"/>
  <c r="I13"/>
  <c r="I8"/>
  <c r="L28" i="65097"/>
  <c r="K28"/>
  <c r="L16"/>
  <c r="K16"/>
  <c r="L13"/>
  <c r="K13"/>
  <c r="K8"/>
  <c r="L8"/>
  <c r="I28"/>
  <c r="I16"/>
  <c r="I13"/>
  <c r="I8"/>
  <c r="L28" i="65096"/>
  <c r="K28"/>
  <c r="L16"/>
  <c r="K16"/>
  <c r="L13"/>
  <c r="K13"/>
  <c r="K8"/>
  <c r="L8"/>
  <c r="I28"/>
  <c r="I16"/>
  <c r="I13"/>
  <c r="I8"/>
  <c r="L32" i="65095"/>
  <c r="K32"/>
  <c r="L28"/>
  <c r="K28"/>
  <c r="L16"/>
  <c r="K16"/>
  <c r="L13"/>
  <c r="K13"/>
  <c r="K8"/>
  <c r="L8"/>
  <c r="I32"/>
  <c r="I28"/>
  <c r="I16"/>
  <c r="I13"/>
  <c r="I8"/>
  <c r="L28" i="65094"/>
  <c r="K28"/>
  <c r="L16"/>
  <c r="K16"/>
  <c r="L13"/>
  <c r="K13"/>
  <c r="K8"/>
  <c r="L8"/>
  <c r="I28"/>
  <c r="I16"/>
  <c r="I13"/>
  <c r="I8"/>
  <c r="L31" i="65093"/>
  <c r="K31"/>
  <c r="L28"/>
  <c r="K28"/>
  <c r="L16"/>
  <c r="K16"/>
  <c r="L13"/>
  <c r="K13"/>
  <c r="K8"/>
  <c r="L8"/>
  <c r="I31"/>
  <c r="I28"/>
  <c r="I16"/>
  <c r="I13"/>
  <c r="I8"/>
  <c r="L28" i="65089"/>
  <c r="K28"/>
  <c r="L16"/>
  <c r="K16"/>
  <c r="L13"/>
  <c r="K13"/>
  <c r="K8"/>
  <c r="L8"/>
  <c r="I28"/>
  <c r="I16"/>
  <c r="I13"/>
  <c r="I8"/>
  <c r="L28" i="65088"/>
  <c r="K28"/>
  <c r="L16"/>
  <c r="K16"/>
  <c r="L13"/>
  <c r="K13"/>
  <c r="K8"/>
  <c r="L8"/>
  <c r="I28"/>
  <c r="I16"/>
  <c r="I13"/>
  <c r="I8"/>
  <c r="L28" i="65087"/>
  <c r="K28"/>
  <c r="L16"/>
  <c r="K16"/>
  <c r="L13"/>
  <c r="K13"/>
  <c r="K8"/>
  <c r="L8"/>
  <c r="I28"/>
  <c r="I16"/>
  <c r="I13"/>
  <c r="I8"/>
  <c r="L28" i="65086"/>
  <c r="K28"/>
  <c r="L16"/>
  <c r="K16"/>
  <c r="L13"/>
  <c r="K13"/>
  <c r="K8"/>
  <c r="L8"/>
  <c r="I28"/>
  <c r="I16"/>
  <c r="I13"/>
  <c r="I8"/>
  <c r="L28" i="65085"/>
  <c r="K28"/>
  <c r="L16"/>
  <c r="K16"/>
  <c r="L13"/>
  <c r="K13"/>
  <c r="K8"/>
  <c r="L8"/>
  <c r="I28"/>
  <c r="I16"/>
  <c r="I13"/>
  <c r="I8"/>
  <c r="L28" i="65084"/>
  <c r="K28"/>
  <c r="L16"/>
  <c r="K16"/>
  <c r="L13"/>
  <c r="K13"/>
  <c r="K8"/>
  <c r="L8"/>
  <c r="I28"/>
  <c r="I16"/>
  <c r="I13"/>
  <c r="I8"/>
  <c r="L28" i="65083"/>
  <c r="K28"/>
  <c r="L16"/>
  <c r="K16"/>
  <c r="L13"/>
  <c r="K13"/>
  <c r="K8"/>
  <c r="L8"/>
  <c r="I28"/>
  <c r="I16"/>
  <c r="I13"/>
  <c r="I8"/>
  <c r="L28" i="65122"/>
  <c r="K28"/>
  <c r="L16"/>
  <c r="K16"/>
  <c r="L13"/>
  <c r="K13"/>
  <c r="K8"/>
  <c r="L8"/>
  <c r="I28"/>
  <c r="I16"/>
  <c r="I13"/>
  <c r="I8"/>
  <c r="L28" i="65081"/>
  <c r="K28"/>
  <c r="L16"/>
  <c r="K16"/>
  <c r="L13"/>
  <c r="K13"/>
  <c r="K8"/>
  <c r="L8"/>
  <c r="I28"/>
  <c r="I16"/>
  <c r="I13"/>
  <c r="I8"/>
  <c r="L28" i="65082"/>
  <c r="K28"/>
  <c r="L16"/>
  <c r="K16"/>
  <c r="L13"/>
  <c r="K13"/>
  <c r="K8"/>
  <c r="L8"/>
  <c r="I28"/>
  <c r="I16"/>
  <c r="I13"/>
  <c r="I8"/>
  <c r="L41" i="65080"/>
  <c r="K41"/>
  <c r="L31"/>
  <c r="K31"/>
  <c r="L16"/>
  <c r="K16"/>
  <c r="L13"/>
  <c r="K13"/>
  <c r="K8"/>
  <c r="L8"/>
  <c r="I41"/>
  <c r="I31"/>
  <c r="I16"/>
  <c r="I13"/>
  <c r="I8"/>
  <c r="L38" i="65079"/>
  <c r="K38"/>
  <c r="L34"/>
  <c r="K34"/>
  <c r="L28"/>
  <c r="K28"/>
  <c r="L16"/>
  <c r="K16"/>
  <c r="L13"/>
  <c r="K13"/>
  <c r="K8"/>
  <c r="L8"/>
  <c r="I38"/>
  <c r="I34"/>
  <c r="I28"/>
  <c r="I16"/>
  <c r="I13"/>
  <c r="I8"/>
  <c r="L32" i="65078"/>
  <c r="K32"/>
  <c r="L29"/>
  <c r="K29"/>
  <c r="L16"/>
  <c r="K16"/>
  <c r="L13"/>
  <c r="K13"/>
  <c r="K8"/>
  <c r="L8"/>
  <c r="I32"/>
  <c r="I29"/>
  <c r="I16"/>
  <c r="I13"/>
  <c r="I8"/>
  <c r="L34" i="65077"/>
  <c r="K34"/>
  <c r="L28"/>
  <c r="K28"/>
  <c r="L16"/>
  <c r="K16"/>
  <c r="L13"/>
  <c r="K13"/>
  <c r="K8"/>
  <c r="L8"/>
  <c r="I34"/>
  <c r="I28"/>
  <c r="I16"/>
  <c r="I13"/>
  <c r="I8"/>
  <c r="L45" i="65076"/>
  <c r="K45"/>
  <c r="L41"/>
  <c r="K41"/>
  <c r="L37"/>
  <c r="K37"/>
  <c r="L32"/>
  <c r="K32"/>
  <c r="L19"/>
  <c r="K19"/>
  <c r="L16"/>
  <c r="K16"/>
  <c r="K11"/>
  <c r="L11"/>
  <c r="L8"/>
  <c r="K8"/>
  <c r="I45"/>
  <c r="I41"/>
  <c r="I37"/>
  <c r="I32"/>
  <c r="I19"/>
  <c r="I16"/>
  <c r="I11"/>
  <c r="I8"/>
  <c r="L36" i="65075"/>
  <c r="K36"/>
  <c r="L33"/>
  <c r="K33"/>
  <c r="L29"/>
  <c r="K29"/>
  <c r="L16"/>
  <c r="K16"/>
  <c r="L13"/>
  <c r="K13"/>
  <c r="K8"/>
  <c r="L8"/>
  <c r="I36"/>
  <c r="I33"/>
  <c r="I29"/>
  <c r="I16"/>
  <c r="I13"/>
  <c r="I8"/>
  <c r="L28" i="65115"/>
  <c r="K28"/>
  <c r="L16"/>
  <c r="K16"/>
  <c r="L13"/>
  <c r="K13"/>
  <c r="K8"/>
  <c r="L8"/>
  <c r="I28"/>
  <c r="I16"/>
  <c r="I13"/>
  <c r="I8"/>
  <c r="L28" i="65100"/>
  <c r="K28"/>
  <c r="L16"/>
  <c r="K16"/>
  <c r="L13"/>
  <c r="K13"/>
  <c r="K8"/>
  <c r="L8"/>
  <c r="I28"/>
  <c r="I16"/>
  <c r="I13"/>
  <c r="I8"/>
  <c r="L28" i="65074"/>
  <c r="K28"/>
  <c r="L16"/>
  <c r="K16"/>
  <c r="L13"/>
  <c r="K13"/>
  <c r="K8"/>
  <c r="L8"/>
  <c r="I28"/>
  <c r="I16"/>
  <c r="I13"/>
  <c r="I8"/>
  <c r="L29" i="65071"/>
  <c r="K29"/>
  <c r="L16"/>
  <c r="K16"/>
  <c r="L13"/>
  <c r="K13"/>
  <c r="K8"/>
  <c r="L8"/>
  <c r="I29"/>
  <c r="I16"/>
  <c r="I13"/>
  <c r="I8"/>
  <c r="L30" i="65070"/>
  <c r="K30"/>
  <c r="L16"/>
  <c r="K16"/>
  <c r="L13"/>
  <c r="K13"/>
  <c r="K8"/>
  <c r="L8"/>
  <c r="I30"/>
  <c r="I16"/>
  <c r="I13"/>
  <c r="I8"/>
  <c r="L29" i="65069"/>
  <c r="K29"/>
  <c r="L17"/>
  <c r="K17"/>
  <c r="K8"/>
  <c r="L8"/>
  <c r="I29"/>
  <c r="I17"/>
  <c r="I8"/>
  <c r="L28" i="65068"/>
  <c r="K28"/>
  <c r="L16"/>
  <c r="K16"/>
  <c r="L13"/>
  <c r="K13"/>
  <c r="K8"/>
  <c r="L8"/>
  <c r="I28"/>
  <c r="I16"/>
  <c r="I13"/>
  <c r="I8"/>
  <c r="L31" i="65140"/>
  <c r="K31"/>
  <c r="L28"/>
  <c r="K28"/>
  <c r="L16"/>
  <c r="K16"/>
  <c r="L13"/>
  <c r="K13"/>
  <c r="K8"/>
  <c r="L8"/>
  <c r="I31"/>
  <c r="I28"/>
  <c r="I16"/>
  <c r="I13"/>
  <c r="I8"/>
  <c r="L28" i="65123"/>
  <c r="K28"/>
  <c r="L16"/>
  <c r="K16"/>
  <c r="L13"/>
  <c r="K13"/>
  <c r="K8"/>
  <c r="L8"/>
  <c r="I28"/>
  <c r="I16"/>
  <c r="I13"/>
  <c r="I8"/>
  <c r="L28" i="65099"/>
  <c r="K28"/>
  <c r="L16"/>
  <c r="K16"/>
  <c r="L13"/>
  <c r="K13"/>
  <c r="K8"/>
  <c r="L8"/>
  <c r="I28"/>
  <c r="I16"/>
  <c r="I13"/>
  <c r="I8"/>
  <c r="L28" i="65067"/>
  <c r="K28"/>
  <c r="L16"/>
  <c r="K16"/>
  <c r="L13"/>
  <c r="K13"/>
  <c r="K8"/>
  <c r="L8"/>
  <c r="I28"/>
  <c r="I16"/>
  <c r="I13"/>
  <c r="I8"/>
  <c r="K46" i="65065"/>
  <c r="K43"/>
  <c r="K34"/>
  <c r="K21"/>
  <c r="K18"/>
  <c r="K13"/>
  <c r="K8"/>
  <c r="I46"/>
  <c r="I43"/>
  <c r="I34"/>
  <c r="I21"/>
  <c r="I18"/>
  <c r="I13"/>
  <c r="I8"/>
  <c r="K16" i="16"/>
  <c r="K13"/>
  <c r="K8"/>
  <c r="J50" i="65076" l="1"/>
  <c r="I75" i="300" l="1"/>
  <c r="H75"/>
  <c r="G75"/>
  <c r="F75"/>
  <c r="M32" i="65077"/>
  <c r="N32" s="1"/>
  <c r="J75" i="300" l="1"/>
  <c r="K75" s="1"/>
  <c r="E63" i="65137" l="1"/>
  <c r="E62"/>
  <c r="F53" i="300" l="1"/>
  <c r="G53"/>
  <c r="H53"/>
  <c r="I53"/>
  <c r="F46"/>
  <c r="F47"/>
  <c r="M31" i="65065"/>
  <c r="F43" i="300"/>
  <c r="J35" i="65070"/>
  <c r="M27"/>
  <c r="N27" s="1"/>
  <c r="J33" i="65067"/>
  <c r="I11" i="16"/>
  <c r="I13"/>
  <c r="I26"/>
  <c r="I16" l="1"/>
  <c r="I34" s="1"/>
  <c r="I35" s="1"/>
  <c r="I36" s="1"/>
  <c r="I8"/>
  <c r="I35" i="65070"/>
  <c r="N31" i="65065"/>
  <c r="J51" i="65076"/>
  <c r="J52" s="1"/>
  <c r="I33" i="65097"/>
  <c r="I46" i="65080"/>
  <c r="J46"/>
  <c r="K46" i="300"/>
  <c r="K43"/>
  <c r="I50" i="65076" l="1"/>
  <c r="I51" s="1"/>
  <c r="I52" s="1"/>
  <c r="E72" i="65137"/>
  <c r="E65"/>
  <c r="E64"/>
  <c r="E29"/>
  <c r="H92" i="300"/>
  <c r="G92"/>
  <c r="F92"/>
  <c r="M35" i="65079"/>
  <c r="N35" s="1"/>
  <c r="J92" i="300" l="1"/>
  <c r="K92" s="1"/>
  <c r="I92"/>
  <c r="I62"/>
  <c r="H62"/>
  <c r="G62"/>
  <c r="F62"/>
  <c r="I21"/>
  <c r="H21"/>
  <c r="F21"/>
  <c r="N34" i="65140"/>
  <c r="M33"/>
  <c r="N33" s="1"/>
  <c r="N32"/>
  <c r="M32"/>
  <c r="N30"/>
  <c r="M29"/>
  <c r="J62" i="300" s="1"/>
  <c r="N27" i="65140"/>
  <c r="N26"/>
  <c r="M26"/>
  <c r="M25"/>
  <c r="N25" s="1"/>
  <c r="N24"/>
  <c r="M24"/>
  <c r="M23"/>
  <c r="N23" s="1"/>
  <c r="N22"/>
  <c r="M22"/>
  <c r="N21"/>
  <c r="M21"/>
  <c r="M20"/>
  <c r="N20" s="1"/>
  <c r="M19"/>
  <c r="N19" s="1"/>
  <c r="N18"/>
  <c r="M18"/>
  <c r="M17"/>
  <c r="N17" s="1"/>
  <c r="N15"/>
  <c r="M14"/>
  <c r="N14" s="1"/>
  <c r="N12"/>
  <c r="N11"/>
  <c r="M11"/>
  <c r="M10"/>
  <c r="D11" i="65124" s="1"/>
  <c r="M9" i="65140"/>
  <c r="C11" i="65124" s="1"/>
  <c r="M28" i="65140" l="1"/>
  <c r="M31"/>
  <c r="D13" i="65125" s="1"/>
  <c r="C13" s="1"/>
  <c r="N29" i="65140"/>
  <c r="J11" i="65124"/>
  <c r="M16" i="65140"/>
  <c r="F11" i="65124" s="1"/>
  <c r="M13" i="65140"/>
  <c r="E11" i="65124" s="1"/>
  <c r="N10" i="65140"/>
  <c r="N13"/>
  <c r="J36"/>
  <c r="L36"/>
  <c r="I36"/>
  <c r="K36"/>
  <c r="M8"/>
  <c r="N8" s="1"/>
  <c r="N9"/>
  <c r="N31" l="1"/>
  <c r="G11" i="65124"/>
  <c r="L11" s="1"/>
  <c r="N28" i="65140"/>
  <c r="N16"/>
  <c r="M36"/>
  <c r="N36" s="1"/>
  <c r="I93" i="300" l="1"/>
  <c r="H93"/>
  <c r="G93"/>
  <c r="F93"/>
  <c r="M36" i="65079"/>
  <c r="N33"/>
  <c r="F42" i="300"/>
  <c r="M26" i="65070"/>
  <c r="N26" s="1"/>
  <c r="L13" i="65066"/>
  <c r="L8"/>
  <c r="K62" i="300"/>
  <c r="M28" i="65066"/>
  <c r="L28"/>
  <c r="K28"/>
  <c r="J28"/>
  <c r="I28"/>
  <c r="F67" i="300"/>
  <c r="L31" i="65066"/>
  <c r="L16"/>
  <c r="N36" i="65079" l="1"/>
  <c r="M34"/>
  <c r="J93" i="300"/>
  <c r="K93" s="1"/>
  <c r="K42"/>
  <c r="H24" i="65124" l="1"/>
  <c r="N34" i="65079"/>
  <c r="G106" i="300"/>
  <c r="H106"/>
  <c r="I106"/>
  <c r="F106"/>
  <c r="G105"/>
  <c r="H105"/>
  <c r="I105"/>
  <c r="F105"/>
  <c r="M36" i="65078"/>
  <c r="N36" s="1"/>
  <c r="M35"/>
  <c r="N35" s="1"/>
  <c r="G94" i="300"/>
  <c r="H94"/>
  <c r="I94"/>
  <c r="F94"/>
  <c r="J41" i="65075"/>
  <c r="I41"/>
  <c r="M34"/>
  <c r="M33" s="1"/>
  <c r="H20" i="65124" s="1"/>
  <c r="N32" i="65075"/>
  <c r="M30"/>
  <c r="I67" i="300"/>
  <c r="H67"/>
  <c r="I79"/>
  <c r="I80"/>
  <c r="H80"/>
  <c r="H79"/>
  <c r="G80"/>
  <c r="G79"/>
  <c r="F80"/>
  <c r="F79"/>
  <c r="M39" i="65080"/>
  <c r="M38"/>
  <c r="M31" i="65079"/>
  <c r="G67" i="300"/>
  <c r="N33" i="65075" l="1"/>
  <c r="N34"/>
  <c r="N30"/>
  <c r="J53" i="300"/>
  <c r="K53" s="1"/>
  <c r="J80"/>
  <c r="K80" s="1"/>
  <c r="F63" i="65137"/>
  <c r="N38" i="65080"/>
  <c r="F62" i="65137"/>
  <c r="J94" i="300"/>
  <c r="K94" s="1"/>
  <c r="J79"/>
  <c r="K79" s="1"/>
  <c r="J106"/>
  <c r="K106" s="1"/>
  <c r="J105"/>
  <c r="K105" s="1"/>
  <c r="I33" i="65115"/>
  <c r="J34" i="65071"/>
  <c r="J31" i="65066"/>
  <c r="J16"/>
  <c r="J13"/>
  <c r="I32"/>
  <c r="I31" s="1"/>
  <c r="I26"/>
  <c r="I24"/>
  <c r="I22"/>
  <c r="I21"/>
  <c r="I20"/>
  <c r="I18"/>
  <c r="I13"/>
  <c r="I11"/>
  <c r="I8" s="1"/>
  <c r="I16" l="1"/>
  <c r="I43" i="65079"/>
  <c r="G21" i="300"/>
  <c r="J8" i="65066"/>
  <c r="J43" i="65079" l="1"/>
  <c r="E32" i="65137" s="1"/>
  <c r="M29" i="65093" l="1"/>
  <c r="N29" l="1"/>
  <c r="M9" i="65065"/>
  <c r="G91" i="300" l="1"/>
  <c r="G90" s="1"/>
  <c r="H91"/>
  <c r="H90" s="1"/>
  <c r="I91"/>
  <c r="I90" s="1"/>
  <c r="F91"/>
  <c r="F90" s="1"/>
  <c r="M30" i="16"/>
  <c r="M28" s="1"/>
  <c r="M29"/>
  <c r="M26"/>
  <c r="M25"/>
  <c r="M24"/>
  <c r="M23"/>
  <c r="M22"/>
  <c r="M21"/>
  <c r="M20"/>
  <c r="M19"/>
  <c r="M18"/>
  <c r="M17"/>
  <c r="M11"/>
  <c r="M49" i="65065"/>
  <c r="M48"/>
  <c r="M47"/>
  <c r="M44"/>
  <c r="J91" i="300" s="1"/>
  <c r="J90" s="1"/>
  <c r="M41" i="65065"/>
  <c r="M40"/>
  <c r="M39"/>
  <c r="M38"/>
  <c r="M37"/>
  <c r="M36"/>
  <c r="M35"/>
  <c r="M32"/>
  <c r="M30"/>
  <c r="M29"/>
  <c r="M28"/>
  <c r="M27"/>
  <c r="M26"/>
  <c r="M25"/>
  <c r="M24"/>
  <c r="M23"/>
  <c r="M22"/>
  <c r="M16"/>
  <c r="M11"/>
  <c r="M10"/>
  <c r="N33" i="65066"/>
  <c r="N32"/>
  <c r="N29"/>
  <c r="N28" s="1"/>
  <c r="N26"/>
  <c r="N25"/>
  <c r="N24"/>
  <c r="N23"/>
  <c r="N22"/>
  <c r="N21"/>
  <c r="N20"/>
  <c r="N19"/>
  <c r="N18"/>
  <c r="N17"/>
  <c r="N11"/>
  <c r="M30" i="65067"/>
  <c r="M29"/>
  <c r="M26"/>
  <c r="M25"/>
  <c r="M24"/>
  <c r="M23"/>
  <c r="M22"/>
  <c r="M21"/>
  <c r="M20"/>
  <c r="M19"/>
  <c r="M18"/>
  <c r="M17"/>
  <c r="M11"/>
  <c r="M30" i="65099"/>
  <c r="M29"/>
  <c r="M26"/>
  <c r="M25"/>
  <c r="M24"/>
  <c r="M23"/>
  <c r="M22"/>
  <c r="M21"/>
  <c r="M20"/>
  <c r="M19"/>
  <c r="M18"/>
  <c r="M17"/>
  <c r="M11"/>
  <c r="M30" i="65123"/>
  <c r="M29"/>
  <c r="M26"/>
  <c r="M25"/>
  <c r="M24"/>
  <c r="M23"/>
  <c r="M22"/>
  <c r="M21"/>
  <c r="M20"/>
  <c r="M19"/>
  <c r="M18"/>
  <c r="M17"/>
  <c r="M11"/>
  <c r="M30" i="65068"/>
  <c r="M29"/>
  <c r="M26"/>
  <c r="M25"/>
  <c r="M24"/>
  <c r="M23"/>
  <c r="M22"/>
  <c r="M21"/>
  <c r="M20"/>
  <c r="M19"/>
  <c r="M18"/>
  <c r="M17"/>
  <c r="M11"/>
  <c r="M31" i="65069"/>
  <c r="M30"/>
  <c r="M27"/>
  <c r="M26"/>
  <c r="M25"/>
  <c r="M24"/>
  <c r="M23"/>
  <c r="M22"/>
  <c r="M21"/>
  <c r="M20"/>
  <c r="M19"/>
  <c r="M18"/>
  <c r="M11"/>
  <c r="M32" i="65070"/>
  <c r="M31"/>
  <c r="M28"/>
  <c r="M25"/>
  <c r="M24"/>
  <c r="M23"/>
  <c r="M22"/>
  <c r="M21"/>
  <c r="M20"/>
  <c r="M19"/>
  <c r="M18"/>
  <c r="M17"/>
  <c r="M11"/>
  <c r="M31" i="65071"/>
  <c r="M30"/>
  <c r="M26"/>
  <c r="M25"/>
  <c r="M24"/>
  <c r="M23"/>
  <c r="M22"/>
  <c r="M21"/>
  <c r="M20"/>
  <c r="M19"/>
  <c r="M18"/>
  <c r="M17"/>
  <c r="M11"/>
  <c r="M30" i="65074"/>
  <c r="M29"/>
  <c r="M26"/>
  <c r="M25"/>
  <c r="M24"/>
  <c r="M23"/>
  <c r="M22"/>
  <c r="M21"/>
  <c r="M20"/>
  <c r="M19"/>
  <c r="M18"/>
  <c r="M17"/>
  <c r="M11"/>
  <c r="M30" i="65100"/>
  <c r="M29"/>
  <c r="M26"/>
  <c r="M25"/>
  <c r="M24"/>
  <c r="M23"/>
  <c r="M22"/>
  <c r="M21"/>
  <c r="M20"/>
  <c r="M19"/>
  <c r="M18"/>
  <c r="M17"/>
  <c r="M11"/>
  <c r="M30" i="65115"/>
  <c r="M29"/>
  <c r="M26"/>
  <c r="M25"/>
  <c r="M24"/>
  <c r="M23"/>
  <c r="M22"/>
  <c r="M21"/>
  <c r="M20"/>
  <c r="M19"/>
  <c r="M18"/>
  <c r="M17"/>
  <c r="M11"/>
  <c r="M38" i="65075"/>
  <c r="M37"/>
  <c r="M31"/>
  <c r="M29" s="1"/>
  <c r="M27"/>
  <c r="M26"/>
  <c r="M25"/>
  <c r="M24"/>
  <c r="M23"/>
  <c r="M22"/>
  <c r="M21"/>
  <c r="M20"/>
  <c r="M19"/>
  <c r="M18"/>
  <c r="M17"/>
  <c r="M11"/>
  <c r="M47" i="65076"/>
  <c r="M46"/>
  <c r="M43"/>
  <c r="M42"/>
  <c r="M39"/>
  <c r="M38"/>
  <c r="M35"/>
  <c r="M34"/>
  <c r="M33"/>
  <c r="M30"/>
  <c r="M26"/>
  <c r="M25"/>
  <c r="M24"/>
  <c r="M21"/>
  <c r="M20"/>
  <c r="N20" s="1"/>
  <c r="N21"/>
  <c r="N24"/>
  <c r="N25"/>
  <c r="N26"/>
  <c r="N30"/>
  <c r="M14"/>
  <c r="M9"/>
  <c r="M36" i="65077"/>
  <c r="M35"/>
  <c r="M31"/>
  <c r="M30"/>
  <c r="N30" s="1"/>
  <c r="M29"/>
  <c r="M26"/>
  <c r="M25"/>
  <c r="M24"/>
  <c r="M23"/>
  <c r="M22"/>
  <c r="M21"/>
  <c r="M20"/>
  <c r="M19"/>
  <c r="M18"/>
  <c r="M17"/>
  <c r="M11"/>
  <c r="M34" i="65078"/>
  <c r="M33"/>
  <c r="M30"/>
  <c r="M27"/>
  <c r="M26"/>
  <c r="M25"/>
  <c r="M24"/>
  <c r="M23"/>
  <c r="M22"/>
  <c r="M21"/>
  <c r="M20"/>
  <c r="M19"/>
  <c r="M18"/>
  <c r="M17"/>
  <c r="M11"/>
  <c r="M40" i="65079"/>
  <c r="M39"/>
  <c r="M32"/>
  <c r="M30"/>
  <c r="M29"/>
  <c r="M26"/>
  <c r="M25"/>
  <c r="M24"/>
  <c r="M23"/>
  <c r="M22"/>
  <c r="M21"/>
  <c r="M20"/>
  <c r="M19"/>
  <c r="M18"/>
  <c r="M17"/>
  <c r="M11"/>
  <c r="M43" i="65080"/>
  <c r="M42"/>
  <c r="M37"/>
  <c r="F65" i="65137" s="1"/>
  <c r="M36" i="65080"/>
  <c r="F64" i="65137" s="1"/>
  <c r="M35" i="65080"/>
  <c r="M34"/>
  <c r="M33"/>
  <c r="M32"/>
  <c r="M29"/>
  <c r="M28"/>
  <c r="M27"/>
  <c r="M26"/>
  <c r="M25"/>
  <c r="M24"/>
  <c r="M23"/>
  <c r="M22"/>
  <c r="M20"/>
  <c r="M19"/>
  <c r="M18"/>
  <c r="M17"/>
  <c r="M11"/>
  <c r="M30" i="65082"/>
  <c r="M29"/>
  <c r="M26"/>
  <c r="M25"/>
  <c r="M24"/>
  <c r="M23"/>
  <c r="M22"/>
  <c r="M21"/>
  <c r="M20"/>
  <c r="M19"/>
  <c r="M18"/>
  <c r="M17"/>
  <c r="M11"/>
  <c r="M30" i="65081"/>
  <c r="M29"/>
  <c r="M26"/>
  <c r="M25"/>
  <c r="M24"/>
  <c r="M23"/>
  <c r="M22"/>
  <c r="M21"/>
  <c r="M20"/>
  <c r="M19"/>
  <c r="M18"/>
  <c r="M17"/>
  <c r="M11"/>
  <c r="M30" i="65122"/>
  <c r="M29"/>
  <c r="M26"/>
  <c r="M25"/>
  <c r="M24"/>
  <c r="M23"/>
  <c r="M22"/>
  <c r="M21"/>
  <c r="M20"/>
  <c r="M19"/>
  <c r="M18"/>
  <c r="M17"/>
  <c r="M11"/>
  <c r="M30" i="65083"/>
  <c r="M29"/>
  <c r="M26"/>
  <c r="M25"/>
  <c r="M24"/>
  <c r="M23"/>
  <c r="M22"/>
  <c r="M21"/>
  <c r="M20"/>
  <c r="M19"/>
  <c r="M18"/>
  <c r="M17"/>
  <c r="M11"/>
  <c r="M30" i="65084"/>
  <c r="M29"/>
  <c r="M26"/>
  <c r="M25"/>
  <c r="M24"/>
  <c r="M23"/>
  <c r="M22"/>
  <c r="M21"/>
  <c r="M20"/>
  <c r="M19"/>
  <c r="M18"/>
  <c r="M17"/>
  <c r="M11"/>
  <c r="M30" i="65085"/>
  <c r="M29"/>
  <c r="M26"/>
  <c r="M25"/>
  <c r="M24"/>
  <c r="M23"/>
  <c r="M22"/>
  <c r="M21"/>
  <c r="M20"/>
  <c r="M19"/>
  <c r="M18"/>
  <c r="M17"/>
  <c r="M11"/>
  <c r="M30" i="65086"/>
  <c r="M29"/>
  <c r="M26"/>
  <c r="M25"/>
  <c r="M24"/>
  <c r="M23"/>
  <c r="M22"/>
  <c r="M21"/>
  <c r="M20"/>
  <c r="M19"/>
  <c r="M18"/>
  <c r="M17"/>
  <c r="M11"/>
  <c r="M30" i="65087"/>
  <c r="M29"/>
  <c r="M26"/>
  <c r="M25"/>
  <c r="M24"/>
  <c r="M23"/>
  <c r="M22"/>
  <c r="M21"/>
  <c r="M20"/>
  <c r="M19"/>
  <c r="M18"/>
  <c r="M17"/>
  <c r="M11"/>
  <c r="M30" i="65088"/>
  <c r="M29"/>
  <c r="M26"/>
  <c r="M25"/>
  <c r="M24"/>
  <c r="M23"/>
  <c r="M22"/>
  <c r="M21"/>
  <c r="M20"/>
  <c r="M19"/>
  <c r="M18"/>
  <c r="M17"/>
  <c r="M11"/>
  <c r="M30" i="65089"/>
  <c r="M29"/>
  <c r="M26"/>
  <c r="M25"/>
  <c r="M24"/>
  <c r="M23"/>
  <c r="M22"/>
  <c r="M21"/>
  <c r="M20"/>
  <c r="M19"/>
  <c r="M18"/>
  <c r="M17"/>
  <c r="M11"/>
  <c r="M33" i="65093"/>
  <c r="M32"/>
  <c r="M26"/>
  <c r="M25"/>
  <c r="M24"/>
  <c r="M23"/>
  <c r="M22"/>
  <c r="M21"/>
  <c r="M20"/>
  <c r="M19"/>
  <c r="M18"/>
  <c r="M17"/>
  <c r="M11"/>
  <c r="M30" i="65094"/>
  <c r="M29"/>
  <c r="M26"/>
  <c r="M25"/>
  <c r="M24"/>
  <c r="M23"/>
  <c r="M22"/>
  <c r="M21"/>
  <c r="M20"/>
  <c r="M19"/>
  <c r="M18"/>
  <c r="M17"/>
  <c r="M11"/>
  <c r="M34" i="65095"/>
  <c r="M33"/>
  <c r="M30"/>
  <c r="M29"/>
  <c r="M26"/>
  <c r="M25"/>
  <c r="M24"/>
  <c r="M23"/>
  <c r="M22"/>
  <c r="M21"/>
  <c r="M20"/>
  <c r="K29" i="300" s="1"/>
  <c r="M19" i="65095"/>
  <c r="M18"/>
  <c r="M17"/>
  <c r="M11"/>
  <c r="M30" i="65096"/>
  <c r="M29"/>
  <c r="M26"/>
  <c r="M25"/>
  <c r="M24"/>
  <c r="M23"/>
  <c r="M22"/>
  <c r="M21"/>
  <c r="M20"/>
  <c r="M19"/>
  <c r="M18"/>
  <c r="M17"/>
  <c r="M11"/>
  <c r="M30" i="65097"/>
  <c r="M29"/>
  <c r="M26"/>
  <c r="M25"/>
  <c r="M24"/>
  <c r="M23"/>
  <c r="M22"/>
  <c r="M21"/>
  <c r="M20"/>
  <c r="M19"/>
  <c r="M18"/>
  <c r="M17"/>
  <c r="M11"/>
  <c r="M30" i="65098"/>
  <c r="M29"/>
  <c r="M26"/>
  <c r="M25"/>
  <c r="M24"/>
  <c r="M23"/>
  <c r="M22"/>
  <c r="M21"/>
  <c r="M20"/>
  <c r="M19"/>
  <c r="M18"/>
  <c r="M17"/>
  <c r="M11"/>
  <c r="M30" i="65105"/>
  <c r="M29"/>
  <c r="M26"/>
  <c r="M25"/>
  <c r="M24"/>
  <c r="M23"/>
  <c r="M22"/>
  <c r="M21"/>
  <c r="M20"/>
  <c r="M19"/>
  <c r="M18"/>
  <c r="M17"/>
  <c r="M11"/>
  <c r="N12" i="65065"/>
  <c r="N17"/>
  <c r="N20"/>
  <c r="N33"/>
  <c r="N42"/>
  <c r="N45"/>
  <c r="H110" i="300"/>
  <c r="H109"/>
  <c r="H98"/>
  <c r="H97"/>
  <c r="H88"/>
  <c r="H87"/>
  <c r="H85"/>
  <c r="H84"/>
  <c r="H83"/>
  <c r="H82"/>
  <c r="H78"/>
  <c r="H77"/>
  <c r="H76"/>
  <c r="H74"/>
  <c r="H73"/>
  <c r="H72"/>
  <c r="H71"/>
  <c r="H70"/>
  <c r="H68"/>
  <c r="H66"/>
  <c r="H65"/>
  <c r="H64"/>
  <c r="H63"/>
  <c r="H61"/>
  <c r="H59"/>
  <c r="H58"/>
  <c r="H57"/>
  <c r="H56"/>
  <c r="H55"/>
  <c r="H54"/>
  <c r="H52"/>
  <c r="H13"/>
  <c r="H12"/>
  <c r="H11"/>
  <c r="H10"/>
  <c r="I110"/>
  <c r="I109"/>
  <c r="I98"/>
  <c r="I97"/>
  <c r="I88"/>
  <c r="I87"/>
  <c r="I85"/>
  <c r="I84"/>
  <c r="I83"/>
  <c r="I82"/>
  <c r="I78"/>
  <c r="I77"/>
  <c r="I76"/>
  <c r="I74"/>
  <c r="I73"/>
  <c r="I72"/>
  <c r="I71"/>
  <c r="I70"/>
  <c r="I68"/>
  <c r="I66"/>
  <c r="I65"/>
  <c r="I64"/>
  <c r="I63"/>
  <c r="I61"/>
  <c r="I59"/>
  <c r="I58"/>
  <c r="I57"/>
  <c r="I56"/>
  <c r="I55"/>
  <c r="I54"/>
  <c r="I52"/>
  <c r="I13"/>
  <c r="I12"/>
  <c r="I11"/>
  <c r="I10"/>
  <c r="M19" i="65065"/>
  <c r="M15"/>
  <c r="M14"/>
  <c r="N14" i="65066"/>
  <c r="N10"/>
  <c r="M14" i="65067"/>
  <c r="M10"/>
  <c r="M14" i="65099"/>
  <c r="M10"/>
  <c r="M14" i="65123"/>
  <c r="M10"/>
  <c r="M14" i="65068"/>
  <c r="M10"/>
  <c r="M14" i="65069"/>
  <c r="M13" s="1"/>
  <c r="M10"/>
  <c r="M14" i="65070"/>
  <c r="M10"/>
  <c r="M14" i="65071"/>
  <c r="M10"/>
  <c r="M14" i="65074"/>
  <c r="M10"/>
  <c r="M14" i="65100"/>
  <c r="M10"/>
  <c r="M14" i="65115"/>
  <c r="M10"/>
  <c r="M14" i="65075"/>
  <c r="M10"/>
  <c r="M29" i="65076"/>
  <c r="N29" s="1"/>
  <c r="M28"/>
  <c r="N28" s="1"/>
  <c r="M27"/>
  <c r="N27" s="1"/>
  <c r="M22"/>
  <c r="N22" s="1"/>
  <c r="M17"/>
  <c r="M13"/>
  <c r="M14" i="65077"/>
  <c r="M10"/>
  <c r="M14" i="65078"/>
  <c r="M10"/>
  <c r="M14" i="65079"/>
  <c r="M10"/>
  <c r="M14" i="65080"/>
  <c r="M10"/>
  <c r="M14" i="65082"/>
  <c r="M10"/>
  <c r="M14" i="65081"/>
  <c r="M10"/>
  <c r="M14" i="65122"/>
  <c r="M10"/>
  <c r="M14" i="65083"/>
  <c r="M10"/>
  <c r="M14" i="65084"/>
  <c r="M10"/>
  <c r="M14" i="65085"/>
  <c r="M10"/>
  <c r="M14" i="65086"/>
  <c r="M10"/>
  <c r="M14" i="65087"/>
  <c r="M10"/>
  <c r="M14" i="65088"/>
  <c r="M10"/>
  <c r="M14" i="65089"/>
  <c r="M10"/>
  <c r="M14" i="65093"/>
  <c r="M10"/>
  <c r="J17" i="300" s="1"/>
  <c r="M14" i="65094"/>
  <c r="M10"/>
  <c r="M14" i="65095"/>
  <c r="M10"/>
  <c r="M14" i="65096"/>
  <c r="M10"/>
  <c r="M14" i="65097"/>
  <c r="M10"/>
  <c r="M14" i="65098"/>
  <c r="M10"/>
  <c r="M14" i="65105"/>
  <c r="M10"/>
  <c r="M14" i="16"/>
  <c r="M10"/>
  <c r="L46" i="65065"/>
  <c r="L43"/>
  <c r="L34"/>
  <c r="L21"/>
  <c r="L18"/>
  <c r="L8"/>
  <c r="M31" i="65066"/>
  <c r="M16"/>
  <c r="M13"/>
  <c r="M8"/>
  <c r="L16" i="16"/>
  <c r="L13"/>
  <c r="L8"/>
  <c r="J22" i="300" l="1"/>
  <c r="J21" s="1"/>
  <c r="J26"/>
  <c r="L46" i="65080"/>
  <c r="L41" i="65075"/>
  <c r="N31" i="65077"/>
  <c r="M28"/>
  <c r="K36" i="65093"/>
  <c r="K37" s="1"/>
  <c r="K38" s="1"/>
  <c r="K41" i="65075"/>
  <c r="K42" s="1"/>
  <c r="K43" s="1"/>
  <c r="F72" i="65137"/>
  <c r="L43" i="65079"/>
  <c r="M28" i="65074"/>
  <c r="I100" i="300"/>
  <c r="H100"/>
  <c r="K43" i="65079"/>
  <c r="K44" s="1"/>
  <c r="K45" s="1"/>
  <c r="H69" i="300"/>
  <c r="H81"/>
  <c r="I60"/>
  <c r="I81"/>
  <c r="I86"/>
  <c r="H86"/>
  <c r="M31" i="65080"/>
  <c r="I51" i="300"/>
  <c r="I69"/>
  <c r="H51"/>
  <c r="H60"/>
  <c r="M32" i="65078"/>
  <c r="M28" i="65093"/>
  <c r="J67" i="300" s="1"/>
  <c r="K33" i="65094"/>
  <c r="K34" s="1"/>
  <c r="K35" s="1"/>
  <c r="I108" i="300"/>
  <c r="K33" i="65067"/>
  <c r="K33" i="65068"/>
  <c r="K34" s="1"/>
  <c r="K35" s="1"/>
  <c r="K33" i="65123"/>
  <c r="K33" i="65099"/>
  <c r="K35" i="65070"/>
  <c r="K34" i="65071"/>
  <c r="K35" s="1"/>
  <c r="K34" i="65069"/>
  <c r="K35" s="1"/>
  <c r="K36" s="1"/>
  <c r="K39" i="65077"/>
  <c r="K40" s="1"/>
  <c r="K41" s="1"/>
  <c r="M9" i="65089"/>
  <c r="M9" i="65088"/>
  <c r="M9" i="65087"/>
  <c r="M9" i="65086"/>
  <c r="M9" i="65085"/>
  <c r="M9" i="65084"/>
  <c r="M9" i="65083"/>
  <c r="J16" i="300" s="1"/>
  <c r="M9" i="65122"/>
  <c r="M12" i="65076"/>
  <c r="M23"/>
  <c r="N23" s="1"/>
  <c r="M9" i="65105"/>
  <c r="M9" i="65098"/>
  <c r="M9" i="65097"/>
  <c r="M9" i="65096"/>
  <c r="M9" i="65095"/>
  <c r="M9" i="65094"/>
  <c r="M9" i="65093"/>
  <c r="M9" i="65081"/>
  <c r="M9" i="65082"/>
  <c r="M9" i="65079"/>
  <c r="M9" i="65078"/>
  <c r="M9" i="65077"/>
  <c r="M9" i="65075"/>
  <c r="M9" i="65115"/>
  <c r="M9" i="65100"/>
  <c r="M9" i="65074"/>
  <c r="M9" i="65071"/>
  <c r="M9" i="65070"/>
  <c r="M9" i="65069"/>
  <c r="M9" i="65068"/>
  <c r="M9" i="65123"/>
  <c r="M9" i="65099"/>
  <c r="M9" i="65067"/>
  <c r="N9" i="65066"/>
  <c r="M9" i="16"/>
  <c r="H108" i="300"/>
  <c r="H17"/>
  <c r="M9" i="65080"/>
  <c r="L33" i="65105"/>
  <c r="L34" s="1"/>
  <c r="L35" s="1"/>
  <c r="L33" i="65098"/>
  <c r="L34" s="1"/>
  <c r="L35" s="1"/>
  <c r="L33" i="65097"/>
  <c r="L34" s="1"/>
  <c r="L35" s="1"/>
  <c r="L33" i="65096"/>
  <c r="L34" s="1"/>
  <c r="L35" s="1"/>
  <c r="L38" i="65095"/>
  <c r="L39" s="1"/>
  <c r="L40" s="1"/>
  <c r="L33" i="65094"/>
  <c r="L34" s="1"/>
  <c r="L35" s="1"/>
  <c r="L36" i="65093"/>
  <c r="L37" s="1"/>
  <c r="L38" s="1"/>
  <c r="L33" i="65089"/>
  <c r="L33" i="65088"/>
  <c r="L33" i="65087"/>
  <c r="L33" i="65086"/>
  <c r="L33" i="65085"/>
  <c r="L33" i="65084"/>
  <c r="L33" i="65083"/>
  <c r="L33" i="65122"/>
  <c r="L33" i="65081"/>
  <c r="L33" i="65082"/>
  <c r="L44" i="65079"/>
  <c r="L45" s="1"/>
  <c r="L39" i="65078"/>
  <c r="L40" s="1"/>
  <c r="L41" s="1"/>
  <c r="L39" i="65077"/>
  <c r="L42" i="65075"/>
  <c r="L43" s="1"/>
  <c r="L33" i="65115"/>
  <c r="L34" s="1"/>
  <c r="L33" i="65100"/>
  <c r="L33" i="65074"/>
  <c r="L34" i="65071"/>
  <c r="L35" s="1"/>
  <c r="L35" i="65070"/>
  <c r="L34" i="65069"/>
  <c r="L35" s="1"/>
  <c r="L36" s="1"/>
  <c r="L33" i="65068"/>
  <c r="L34" s="1"/>
  <c r="L35" s="1"/>
  <c r="L33" i="65123"/>
  <c r="L33" i="65099"/>
  <c r="L33" i="65067"/>
  <c r="M36" i="65066"/>
  <c r="L13" i="65065"/>
  <c r="L52" s="1"/>
  <c r="I9" i="300"/>
  <c r="H9"/>
  <c r="L34" i="16"/>
  <c r="L35" s="1"/>
  <c r="L36" s="1"/>
  <c r="H96" i="300"/>
  <c r="I15"/>
  <c r="I96"/>
  <c r="K50" i="65076"/>
  <c r="L36" i="65066"/>
  <c r="L50" i="65076"/>
  <c r="L51" s="1"/>
  <c r="L52" s="1"/>
  <c r="J25" i="300" l="1"/>
  <c r="K16"/>
  <c r="L40" i="65077"/>
  <c r="L41" s="1"/>
  <c r="I113" i="300"/>
  <c r="L34" i="65122"/>
  <c r="L37" i="65140"/>
  <c r="L38" s="1"/>
  <c r="L34" i="65100"/>
  <c r="L35" i="65141" s="1"/>
  <c r="K46" i="65080"/>
  <c r="K33" i="65105"/>
  <c r="K34" s="1"/>
  <c r="K35" s="1"/>
  <c r="K38" i="65095"/>
  <c r="K39" s="1"/>
  <c r="K40" s="1"/>
  <c r="K33" i="65100"/>
  <c r="K33" i="65122"/>
  <c r="K33" i="65115"/>
  <c r="K34" s="1"/>
  <c r="K33" i="65097"/>
  <c r="K34" s="1"/>
  <c r="K35" s="1"/>
  <c r="K39" i="65078"/>
  <c r="K40" s="1"/>
  <c r="K41" s="1"/>
  <c r="K33" i="65088"/>
  <c r="K33" i="65087"/>
  <c r="K33" i="65086"/>
  <c r="K33" i="65074"/>
  <c r="K51" i="65076"/>
  <c r="K52" s="1"/>
  <c r="L34" i="65089"/>
  <c r="K34" i="16"/>
  <c r="K35" s="1"/>
  <c r="K36" s="1"/>
  <c r="K33" i="65098"/>
  <c r="K34" s="1"/>
  <c r="K35" s="1"/>
  <c r="H15" i="300"/>
  <c r="K33" i="65096"/>
  <c r="K34" s="1"/>
  <c r="K35" s="1"/>
  <c r="K33" i="65089"/>
  <c r="K33" i="65085"/>
  <c r="K33" i="65084"/>
  <c r="K33" i="65083"/>
  <c r="K33" i="65081"/>
  <c r="K33" i="65082"/>
  <c r="K52" i="65065"/>
  <c r="I50" i="300"/>
  <c r="H50"/>
  <c r="L35" i="65089" l="1"/>
  <c r="K37" i="65140"/>
  <c r="K38" s="1"/>
  <c r="H113" i="300"/>
  <c r="K34" i="65100"/>
  <c r="K35" i="65141" s="1"/>
  <c r="K34" i="65089"/>
  <c r="H7" i="300"/>
  <c r="I7"/>
  <c r="K34" i="65122"/>
  <c r="G63" i="300"/>
  <c r="J63"/>
  <c r="G64"/>
  <c r="J64"/>
  <c r="F64"/>
  <c r="F63"/>
  <c r="J52" i="65065"/>
  <c r="J33" i="65115"/>
  <c r="J34" s="1"/>
  <c r="J33" i="65122"/>
  <c r="I33" i="65123"/>
  <c r="I34" i="65069"/>
  <c r="I35" s="1"/>
  <c r="I36" s="1"/>
  <c r="I34" i="65071"/>
  <c r="I35" s="1"/>
  <c r="I42" i="65075"/>
  <c r="I43" s="1"/>
  <c r="I39" i="65078"/>
  <c r="I40" s="1"/>
  <c r="I41" s="1"/>
  <c r="I33" i="65096"/>
  <c r="I34" s="1"/>
  <c r="I35" s="1"/>
  <c r="I34" i="65097"/>
  <c r="I35" s="1"/>
  <c r="I33" i="65098"/>
  <c r="I34" s="1"/>
  <c r="I35" s="1"/>
  <c r="I33" i="65105"/>
  <c r="I34" s="1"/>
  <c r="I35" s="1"/>
  <c r="E15" i="304"/>
  <c r="D19"/>
  <c r="J74" i="300"/>
  <c r="G74"/>
  <c r="F74"/>
  <c r="N40" i="65065"/>
  <c r="D34" i="304"/>
  <c r="K14" i="300"/>
  <c r="K20"/>
  <c r="K24"/>
  <c r="K49"/>
  <c r="K89"/>
  <c r="K95"/>
  <c r="K99"/>
  <c r="K107"/>
  <c r="K111"/>
  <c r="N33" i="65095"/>
  <c r="N34"/>
  <c r="N36"/>
  <c r="N34" i="65093"/>
  <c r="N34" i="65080"/>
  <c r="N35"/>
  <c r="N36"/>
  <c r="N37"/>
  <c r="N40"/>
  <c r="N42"/>
  <c r="N43"/>
  <c r="N44"/>
  <c r="N29" i="65079"/>
  <c r="N30"/>
  <c r="N31"/>
  <c r="N32"/>
  <c r="N37"/>
  <c r="N39"/>
  <c r="N40"/>
  <c r="N41"/>
  <c r="N33" i="65078"/>
  <c r="N34"/>
  <c r="N37"/>
  <c r="N33" i="65077"/>
  <c r="N35"/>
  <c r="N36"/>
  <c r="N37"/>
  <c r="N35" i="65076"/>
  <c r="N36"/>
  <c r="N38"/>
  <c r="N39"/>
  <c r="N40"/>
  <c r="N42"/>
  <c r="N43"/>
  <c r="N44"/>
  <c r="N46"/>
  <c r="N47"/>
  <c r="N48"/>
  <c r="N35" i="65065"/>
  <c r="N36"/>
  <c r="N37"/>
  <c r="N38"/>
  <c r="N39"/>
  <c r="N41"/>
  <c r="N44"/>
  <c r="N47"/>
  <c r="N48"/>
  <c r="N49"/>
  <c r="N50"/>
  <c r="N32" i="65093"/>
  <c r="N31" i="65122"/>
  <c r="N31" i="65078"/>
  <c r="N32" i="65071"/>
  <c r="O32" i="65066"/>
  <c r="O34"/>
  <c r="N34" i="65067"/>
  <c r="N35"/>
  <c r="N34" i="65099"/>
  <c r="N35"/>
  <c r="N36" i="65070"/>
  <c r="N37"/>
  <c r="N35" i="65074"/>
  <c r="N38" i="65075"/>
  <c r="N39"/>
  <c r="N34" i="65076"/>
  <c r="N34" i="65082"/>
  <c r="N35"/>
  <c r="N34" i="65081"/>
  <c r="N35"/>
  <c r="N34" i="65083"/>
  <c r="N35"/>
  <c r="N34" i="65084"/>
  <c r="N35"/>
  <c r="N34" i="65085"/>
  <c r="N35"/>
  <c r="N34" i="65086"/>
  <c r="N35"/>
  <c r="N34" i="65087"/>
  <c r="N35"/>
  <c r="N34" i="65088"/>
  <c r="N35"/>
  <c r="N10" i="65065"/>
  <c r="N11"/>
  <c r="N22"/>
  <c r="N23"/>
  <c r="N24"/>
  <c r="N25"/>
  <c r="N26"/>
  <c r="N27"/>
  <c r="N28"/>
  <c r="N29"/>
  <c r="N30"/>
  <c r="O10" i="65066"/>
  <c r="O11"/>
  <c r="O12"/>
  <c r="O14"/>
  <c r="O15"/>
  <c r="O17"/>
  <c r="O18"/>
  <c r="O19"/>
  <c r="O20"/>
  <c r="O21"/>
  <c r="O22"/>
  <c r="O23"/>
  <c r="O24"/>
  <c r="O25"/>
  <c r="O26"/>
  <c r="O27"/>
  <c r="O29"/>
  <c r="O30"/>
  <c r="O33"/>
  <c r="N10" i="65067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99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123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68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69"/>
  <c r="N11"/>
  <c r="N12"/>
  <c r="N14"/>
  <c r="N16"/>
  <c r="N18"/>
  <c r="N19"/>
  <c r="N20"/>
  <c r="N21"/>
  <c r="N22"/>
  <c r="N23"/>
  <c r="N24"/>
  <c r="N25"/>
  <c r="N26"/>
  <c r="N27"/>
  <c r="N28"/>
  <c r="N30"/>
  <c r="N31"/>
  <c r="N32"/>
  <c r="N10" i="65070"/>
  <c r="N11"/>
  <c r="N12"/>
  <c r="N14"/>
  <c r="N15"/>
  <c r="N17"/>
  <c r="N18"/>
  <c r="N19"/>
  <c r="N20"/>
  <c r="N21"/>
  <c r="N22"/>
  <c r="N23"/>
  <c r="N24"/>
  <c r="N25"/>
  <c r="N28"/>
  <c r="N29"/>
  <c r="N31"/>
  <c r="N32"/>
  <c r="N33"/>
  <c r="N10" i="65071"/>
  <c r="N11"/>
  <c r="N12"/>
  <c r="N14"/>
  <c r="N15"/>
  <c r="N17"/>
  <c r="N18"/>
  <c r="N19"/>
  <c r="N20"/>
  <c r="N21"/>
  <c r="N22"/>
  <c r="N23"/>
  <c r="N24"/>
  <c r="N25"/>
  <c r="N26"/>
  <c r="N27"/>
  <c r="N28"/>
  <c r="N30"/>
  <c r="N31"/>
  <c r="N10" i="65074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100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115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75"/>
  <c r="N11"/>
  <c r="N12"/>
  <c r="N14"/>
  <c r="N15"/>
  <c r="N17"/>
  <c r="N18"/>
  <c r="N19"/>
  <c r="N20"/>
  <c r="N21"/>
  <c r="N22"/>
  <c r="N23"/>
  <c r="N24"/>
  <c r="N25"/>
  <c r="N26"/>
  <c r="N27"/>
  <c r="N28"/>
  <c r="N31"/>
  <c r="N35"/>
  <c r="N37"/>
  <c r="N10" i="65076"/>
  <c r="N14"/>
  <c r="N15"/>
  <c r="N18"/>
  <c r="N31"/>
  <c r="N33"/>
  <c r="N10" i="65077"/>
  <c r="N11"/>
  <c r="N12"/>
  <c r="N14"/>
  <c r="N15"/>
  <c r="N17"/>
  <c r="N18"/>
  <c r="N19"/>
  <c r="N20"/>
  <c r="N21"/>
  <c r="N22"/>
  <c r="N23"/>
  <c r="N24"/>
  <c r="N25"/>
  <c r="N26"/>
  <c r="N27"/>
  <c r="N29"/>
  <c r="N10" i="65078"/>
  <c r="N11"/>
  <c r="N12"/>
  <c r="N14"/>
  <c r="N15"/>
  <c r="N17"/>
  <c r="N18"/>
  <c r="N19"/>
  <c r="N20"/>
  <c r="N21"/>
  <c r="N22"/>
  <c r="N23"/>
  <c r="N24"/>
  <c r="N25"/>
  <c r="N26"/>
  <c r="N27"/>
  <c r="N28"/>
  <c r="N30"/>
  <c r="N10" i="65079"/>
  <c r="N11"/>
  <c r="N12"/>
  <c r="N14"/>
  <c r="N15"/>
  <c r="N17"/>
  <c r="N18"/>
  <c r="N19"/>
  <c r="N20"/>
  <c r="N21"/>
  <c r="N22"/>
  <c r="N23"/>
  <c r="N24"/>
  <c r="N25"/>
  <c r="N26"/>
  <c r="N27"/>
  <c r="N10" i="65080"/>
  <c r="N11"/>
  <c r="N12"/>
  <c r="N14"/>
  <c r="N15"/>
  <c r="N17"/>
  <c r="N18"/>
  <c r="N19"/>
  <c r="N20"/>
  <c r="N22"/>
  <c r="N23"/>
  <c r="N24"/>
  <c r="N25"/>
  <c r="N26"/>
  <c r="N27"/>
  <c r="N28"/>
  <c r="N29"/>
  <c r="N30"/>
  <c r="N32"/>
  <c r="N33"/>
  <c r="N10" i="65082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1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122"/>
  <c r="N11"/>
  <c r="N12"/>
  <c r="N14"/>
  <c r="N15"/>
  <c r="N17"/>
  <c r="N18"/>
  <c r="N19"/>
  <c r="N20"/>
  <c r="N21"/>
  <c r="N22"/>
  <c r="N23"/>
  <c r="N24"/>
  <c r="N25"/>
  <c r="N26"/>
  <c r="N27"/>
  <c r="N29"/>
  <c r="N30"/>
  <c r="N10" i="65083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4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5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6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7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8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89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93"/>
  <c r="N11"/>
  <c r="N12"/>
  <c r="N14"/>
  <c r="N15"/>
  <c r="N17"/>
  <c r="N18"/>
  <c r="N19"/>
  <c r="N20"/>
  <c r="N21"/>
  <c r="N22"/>
  <c r="N23"/>
  <c r="N24"/>
  <c r="N25"/>
  <c r="N26"/>
  <c r="N27"/>
  <c r="N30"/>
  <c r="N33"/>
  <c r="N10" i="65094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95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96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97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098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65105"/>
  <c r="N11"/>
  <c r="N12"/>
  <c r="N14"/>
  <c r="N15"/>
  <c r="N17"/>
  <c r="N18"/>
  <c r="N19"/>
  <c r="N20"/>
  <c r="N21"/>
  <c r="N22"/>
  <c r="N23"/>
  <c r="N24"/>
  <c r="N25"/>
  <c r="N26"/>
  <c r="N27"/>
  <c r="N29"/>
  <c r="N30"/>
  <c r="N31"/>
  <c r="N10" i="16"/>
  <c r="N11"/>
  <c r="N12"/>
  <c r="N14"/>
  <c r="N15"/>
  <c r="N17"/>
  <c r="N18"/>
  <c r="N19"/>
  <c r="N20"/>
  <c r="N21"/>
  <c r="N22"/>
  <c r="N23"/>
  <c r="N24"/>
  <c r="N25"/>
  <c r="N26"/>
  <c r="N27"/>
  <c r="N29"/>
  <c r="N30"/>
  <c r="N32"/>
  <c r="N9" i="65065"/>
  <c r="O9" i="65066"/>
  <c r="N9" i="65067"/>
  <c r="N9" i="65099"/>
  <c r="N9" i="65123"/>
  <c r="N9" i="65068"/>
  <c r="N9" i="65069"/>
  <c r="N9" i="65070"/>
  <c r="N9" i="65071"/>
  <c r="N9" i="65074"/>
  <c r="N9" i="65100"/>
  <c r="N9" i="65115"/>
  <c r="N9" i="65075"/>
  <c r="N9" i="65076"/>
  <c r="N9" i="65077"/>
  <c r="N9" i="65078"/>
  <c r="N9" i="65079"/>
  <c r="N9" i="65080"/>
  <c r="N9" i="65082"/>
  <c r="N9" i="65081"/>
  <c r="N9" i="65122"/>
  <c r="N9" i="65083"/>
  <c r="N9" i="65084"/>
  <c r="N9" i="65085"/>
  <c r="N9" i="65086"/>
  <c r="N9" i="65087"/>
  <c r="N9" i="65088"/>
  <c r="N9" i="65089"/>
  <c r="N9" i="65093"/>
  <c r="N9" i="65094"/>
  <c r="N9" i="65095"/>
  <c r="N9" i="65096"/>
  <c r="N9" i="65097"/>
  <c r="N9" i="65098"/>
  <c r="N9" i="16"/>
  <c r="G78" i="300"/>
  <c r="J78"/>
  <c r="F78"/>
  <c r="M28" i="65095"/>
  <c r="N28" s="1"/>
  <c r="N17" i="65076"/>
  <c r="K78" i="300" l="1"/>
  <c r="K74"/>
  <c r="K63"/>
  <c r="K64"/>
  <c r="K35" i="65089"/>
  <c r="I36" i="65093"/>
  <c r="I37" s="1"/>
  <c r="I38" s="1"/>
  <c r="D18" i="304"/>
  <c r="I33" i="65068"/>
  <c r="I34" s="1"/>
  <c r="I35" s="1"/>
  <c r="I33" i="65094"/>
  <c r="I34" s="1"/>
  <c r="I35" s="1"/>
  <c r="I33" i="65089"/>
  <c r="I33" i="65088"/>
  <c r="I33" i="65087"/>
  <c r="I33" i="65086"/>
  <c r="I33" i="65085"/>
  <c r="I33" i="65084"/>
  <c r="I33" i="65083"/>
  <c r="I33" i="65122"/>
  <c r="I33" i="65081"/>
  <c r="I33" i="65082"/>
  <c r="I39" i="65077"/>
  <c r="I34" i="65115"/>
  <c r="I33" i="65100"/>
  <c r="I33" i="65074"/>
  <c r="I33" i="65099"/>
  <c r="I36" i="65066"/>
  <c r="I44" i="65079"/>
  <c r="I45" s="1"/>
  <c r="I33" i="65067"/>
  <c r="G17" i="300"/>
  <c r="J44" i="65079"/>
  <c r="J45" s="1"/>
  <c r="N12" i="65076"/>
  <c r="J34" i="16"/>
  <c r="J33" i="65105"/>
  <c r="J33" i="65098"/>
  <c r="J33" i="65097"/>
  <c r="J33" i="65096"/>
  <c r="J38" i="65095"/>
  <c r="J33" i="65089"/>
  <c r="J33" i="65088"/>
  <c r="J33" i="65087"/>
  <c r="J33" i="65086"/>
  <c r="J33" i="65085"/>
  <c r="J33" i="65084"/>
  <c r="J33" i="65083"/>
  <c r="J33" i="65081"/>
  <c r="J33" i="65082"/>
  <c r="J39" i="65078"/>
  <c r="J33" i="65068"/>
  <c r="J33" i="65123"/>
  <c r="J33" i="65099"/>
  <c r="J33" i="65094"/>
  <c r="J36" i="65093"/>
  <c r="J39" i="65077"/>
  <c r="J33" i="65100"/>
  <c r="J33" i="65074"/>
  <c r="J35" i="65071"/>
  <c r="J34" i="65069"/>
  <c r="E24" i="65137" s="1"/>
  <c r="J36" i="65066"/>
  <c r="I38" i="65095"/>
  <c r="D29" i="304"/>
  <c r="N14" i="65065"/>
  <c r="N19"/>
  <c r="I39" i="65095" l="1"/>
  <c r="I40" s="1"/>
  <c r="F113" i="300"/>
  <c r="E25" i="65137"/>
  <c r="G113" i="300"/>
  <c r="I34" i="65100"/>
  <c r="I35" i="65141" s="1"/>
  <c r="J35" i="16"/>
  <c r="J36" s="1"/>
  <c r="E9" i="65137"/>
  <c r="J40" i="65078"/>
  <c r="J41" s="1"/>
  <c r="E39" i="65137"/>
  <c r="J34" i="65100"/>
  <c r="J35" i="65141" s="1"/>
  <c r="E26" i="65137"/>
  <c r="J37" i="65140"/>
  <c r="J38" s="1"/>
  <c r="E86" i="65137"/>
  <c r="I40" i="65077"/>
  <c r="I41" s="1"/>
  <c r="I52" i="65065"/>
  <c r="I37" i="65140" s="1"/>
  <c r="I38" s="1"/>
  <c r="D16" i="304"/>
  <c r="J34" i="65122"/>
  <c r="I34"/>
  <c r="I34" i="65089"/>
  <c r="D15" i="304"/>
  <c r="J37" i="65093"/>
  <c r="J42" i="65075"/>
  <c r="J43" s="1"/>
  <c r="J34" i="65089"/>
  <c r="J34" i="65096"/>
  <c r="J34" i="65098"/>
  <c r="J34" i="65105"/>
  <c r="J40" i="65077"/>
  <c r="J41" s="1"/>
  <c r="J34" i="65068"/>
  <c r="J39" i="65095"/>
  <c r="J40" s="1"/>
  <c r="J34" i="65097"/>
  <c r="J35" i="65069"/>
  <c r="J34" i="65094"/>
  <c r="N16" i="65065"/>
  <c r="N32"/>
  <c r="I35" i="65089" l="1"/>
  <c r="J35"/>
  <c r="D17" i="304"/>
  <c r="D14" s="1"/>
  <c r="J35" i="65094"/>
  <c r="J35" i="65097"/>
  <c r="J35" i="65068"/>
  <c r="J35" i="65098"/>
  <c r="J35" i="65096"/>
  <c r="J36" i="65069"/>
  <c r="J35" i="65105"/>
  <c r="J38" i="65093"/>
  <c r="N15" i="65065"/>
  <c r="D40" i="304" l="1"/>
  <c r="N13" i="65076"/>
  <c r="N28" i="65093"/>
  <c r="M28" i="65079"/>
  <c r="M28" i="65067"/>
  <c r="N28" s="1"/>
  <c r="N28" i="65079" l="1"/>
  <c r="G109" i="300"/>
  <c r="J109"/>
  <c r="G110"/>
  <c r="J110"/>
  <c r="F110"/>
  <c r="F109"/>
  <c r="M45" i="65076"/>
  <c r="N45" s="1"/>
  <c r="K110" i="300" l="1"/>
  <c r="K109"/>
  <c r="G97"/>
  <c r="G98"/>
  <c r="G87"/>
  <c r="G88"/>
  <c r="G82"/>
  <c r="G83"/>
  <c r="G84"/>
  <c r="G85"/>
  <c r="G70"/>
  <c r="G71"/>
  <c r="G72"/>
  <c r="G73"/>
  <c r="G76"/>
  <c r="G77"/>
  <c r="G61"/>
  <c r="G65"/>
  <c r="G66"/>
  <c r="G68"/>
  <c r="G52"/>
  <c r="G54"/>
  <c r="G55"/>
  <c r="G56"/>
  <c r="G57"/>
  <c r="G58"/>
  <c r="G59"/>
  <c r="K39"/>
  <c r="G10"/>
  <c r="G11"/>
  <c r="G12"/>
  <c r="G13"/>
  <c r="G100" l="1"/>
  <c r="G51"/>
  <c r="G60"/>
  <c r="G69"/>
  <c r="G81"/>
  <c r="G86"/>
  <c r="G108"/>
  <c r="E36" i="304" s="1"/>
  <c r="G96" i="300"/>
  <c r="G9"/>
  <c r="M13" i="65094"/>
  <c r="N13" s="1"/>
  <c r="M32" i="65095"/>
  <c r="N32" s="1"/>
  <c r="M31" i="65093"/>
  <c r="N31" s="1"/>
  <c r="N31" i="65080"/>
  <c r="M29" i="65078"/>
  <c r="N29" s="1"/>
  <c r="N28" i="65077"/>
  <c r="M34"/>
  <c r="N34" s="1"/>
  <c r="M32" i="65076"/>
  <c r="N32" s="1"/>
  <c r="N29" i="65075"/>
  <c r="M36"/>
  <c r="N36" s="1"/>
  <c r="O28" i="65066"/>
  <c r="E24" i="304" l="1"/>
  <c r="E21"/>
  <c r="E23"/>
  <c r="E26"/>
  <c r="E27"/>
  <c r="E31"/>
  <c r="G15" i="300"/>
  <c r="G50"/>
  <c r="E25" i="304" l="1"/>
  <c r="E22"/>
  <c r="G7" i="300"/>
  <c r="E34" i="304" l="1"/>
  <c r="M16" i="65122"/>
  <c r="N16" s="1"/>
  <c r="K48" i="300"/>
  <c r="F48"/>
  <c r="M16" i="65075"/>
  <c r="N16" s="1"/>
  <c r="D29" i="65124"/>
  <c r="M8" i="65080"/>
  <c r="E19" i="304"/>
  <c r="M28" i="65085"/>
  <c r="N28" s="1"/>
  <c r="M13" i="65098"/>
  <c r="N13" s="1"/>
  <c r="M8"/>
  <c r="N8" s="1"/>
  <c r="M13" i="65096"/>
  <c r="N13" s="1"/>
  <c r="M8"/>
  <c r="N8" s="1"/>
  <c r="M13" i="65071"/>
  <c r="N13" s="1"/>
  <c r="M8"/>
  <c r="N8" s="1"/>
  <c r="M13" i="65105"/>
  <c r="M13" i="65097"/>
  <c r="N13" s="1"/>
  <c r="M8"/>
  <c r="N8" s="1"/>
  <c r="M13" i="65095"/>
  <c r="N13" s="1"/>
  <c r="M8"/>
  <c r="N8" s="1"/>
  <c r="M8" i="65094"/>
  <c r="N8" s="1"/>
  <c r="M13" i="65093"/>
  <c r="N13" s="1"/>
  <c r="M8"/>
  <c r="N8" s="1"/>
  <c r="M13" i="65089"/>
  <c r="N13" s="1"/>
  <c r="M8"/>
  <c r="N8" s="1"/>
  <c r="M13" i="65088"/>
  <c r="N13" s="1"/>
  <c r="M8"/>
  <c r="N8" s="1"/>
  <c r="M13" i="65087"/>
  <c r="M8"/>
  <c r="N8" s="1"/>
  <c r="M13" i="65086"/>
  <c r="N13" s="1"/>
  <c r="M8"/>
  <c r="N8" s="1"/>
  <c r="M13" i="65085"/>
  <c r="N13" s="1"/>
  <c r="M8"/>
  <c r="N8" s="1"/>
  <c r="M13" i="65084"/>
  <c r="N13" s="1"/>
  <c r="M8"/>
  <c r="N8" s="1"/>
  <c r="M13" i="65083"/>
  <c r="N13" s="1"/>
  <c r="M8"/>
  <c r="N8" s="1"/>
  <c r="M13" i="65122"/>
  <c r="N13" s="1"/>
  <c r="M8"/>
  <c r="N8" s="1"/>
  <c r="M13" i="65081"/>
  <c r="N13" s="1"/>
  <c r="M8"/>
  <c r="N8" s="1"/>
  <c r="M13" i="65082"/>
  <c r="N13" s="1"/>
  <c r="M8"/>
  <c r="N8" s="1"/>
  <c r="M13" i="65080"/>
  <c r="M13" i="65079"/>
  <c r="N13" s="1"/>
  <c r="M8"/>
  <c r="M13" i="65078"/>
  <c r="N13" s="1"/>
  <c r="M8"/>
  <c r="N8" s="1"/>
  <c r="M13" i="65077"/>
  <c r="N13" s="1"/>
  <c r="M8"/>
  <c r="N8" s="1"/>
  <c r="M16" i="65076"/>
  <c r="M11"/>
  <c r="N11" s="1"/>
  <c r="M13" i="65075"/>
  <c r="N13" s="1"/>
  <c r="M8"/>
  <c r="M13" i="65115"/>
  <c r="N13" s="1"/>
  <c r="M8"/>
  <c r="N8" s="1"/>
  <c r="M13" i="65100"/>
  <c r="N13" s="1"/>
  <c r="M8"/>
  <c r="N8" s="1"/>
  <c r="M13" i="65074"/>
  <c r="N13" s="1"/>
  <c r="M8"/>
  <c r="N8" s="1"/>
  <c r="M13" i="65070"/>
  <c r="N13" s="1"/>
  <c r="M8"/>
  <c r="N8" s="1"/>
  <c r="M8" i="65069"/>
  <c r="N8" s="1"/>
  <c r="M13" i="65068"/>
  <c r="N13" s="1"/>
  <c r="M8"/>
  <c r="N8" s="1"/>
  <c r="M13" i="65123"/>
  <c r="N13" s="1"/>
  <c r="M8"/>
  <c r="N8" s="1"/>
  <c r="M13" i="65099"/>
  <c r="M8"/>
  <c r="N8" s="1"/>
  <c r="M13" i="65067"/>
  <c r="N13" s="1"/>
  <c r="M8"/>
  <c r="N8" s="1"/>
  <c r="N13" i="65066"/>
  <c r="O13" s="1"/>
  <c r="N8"/>
  <c r="O8" s="1"/>
  <c r="M18" i="65065"/>
  <c r="N18" s="1"/>
  <c r="M13"/>
  <c r="N13" s="1"/>
  <c r="M13" i="16"/>
  <c r="N13" s="1"/>
  <c r="M8"/>
  <c r="N8" s="1"/>
  <c r="G72" i="65137"/>
  <c r="G65"/>
  <c r="G64"/>
  <c r="K18" i="300"/>
  <c r="K19"/>
  <c r="E45" i="65125"/>
  <c r="F45"/>
  <c r="G10" i="65137"/>
  <c r="G12"/>
  <c r="G13"/>
  <c r="G14"/>
  <c r="G15"/>
  <c r="G16"/>
  <c r="E17"/>
  <c r="G17" s="1"/>
  <c r="F17"/>
  <c r="G18"/>
  <c r="G19"/>
  <c r="G20"/>
  <c r="G21"/>
  <c r="G22"/>
  <c r="G27"/>
  <c r="G28"/>
  <c r="G31"/>
  <c r="G33"/>
  <c r="G34"/>
  <c r="G35"/>
  <c r="G36"/>
  <c r="G37"/>
  <c r="G38"/>
  <c r="E40"/>
  <c r="G40" s="1"/>
  <c r="F40"/>
  <c r="G41"/>
  <c r="G42"/>
  <c r="G43"/>
  <c r="G44"/>
  <c r="G45"/>
  <c r="G46"/>
  <c r="E47"/>
  <c r="F47"/>
  <c r="G47"/>
  <c r="G48"/>
  <c r="G49"/>
  <c r="G50"/>
  <c r="G51"/>
  <c r="G52"/>
  <c r="G53"/>
  <c r="E54"/>
  <c r="G54" s="1"/>
  <c r="F54"/>
  <c r="G55"/>
  <c r="G56"/>
  <c r="G57"/>
  <c r="G58"/>
  <c r="G59"/>
  <c r="G60"/>
  <c r="G62"/>
  <c r="G63"/>
  <c r="E61"/>
  <c r="G66"/>
  <c r="G67"/>
  <c r="G71"/>
  <c r="G73"/>
  <c r="G74"/>
  <c r="G75"/>
  <c r="G78"/>
  <c r="G79"/>
  <c r="G80"/>
  <c r="G81"/>
  <c r="G82"/>
  <c r="G83"/>
  <c r="G84"/>
  <c r="G85"/>
  <c r="C5" i="65124"/>
  <c r="D5"/>
  <c r="C6"/>
  <c r="D6"/>
  <c r="C7"/>
  <c r="D7"/>
  <c r="C8"/>
  <c r="D8"/>
  <c r="C9"/>
  <c r="D9"/>
  <c r="C10"/>
  <c r="D10"/>
  <c r="C12"/>
  <c r="D12"/>
  <c r="C13"/>
  <c r="D13"/>
  <c r="C14"/>
  <c r="D14"/>
  <c r="C15"/>
  <c r="D15"/>
  <c r="C16"/>
  <c r="D16"/>
  <c r="C17"/>
  <c r="D17"/>
  <c r="C18"/>
  <c r="D18"/>
  <c r="C20"/>
  <c r="D20"/>
  <c r="C21"/>
  <c r="D21"/>
  <c r="C22"/>
  <c r="D22"/>
  <c r="C23"/>
  <c r="D23"/>
  <c r="C24"/>
  <c r="D24"/>
  <c r="D25"/>
  <c r="C26"/>
  <c r="D26"/>
  <c r="C27"/>
  <c r="D27"/>
  <c r="C28"/>
  <c r="D28"/>
  <c r="C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D42"/>
  <c r="M16" i="65105"/>
  <c r="N16" s="1"/>
  <c r="M28"/>
  <c r="N28" s="1"/>
  <c r="M16" i="65098"/>
  <c r="M28"/>
  <c r="N28" s="1"/>
  <c r="M16" i="65097"/>
  <c r="N16" s="1"/>
  <c r="M28"/>
  <c r="N28" s="1"/>
  <c r="M16" i="65096"/>
  <c r="N16" s="1"/>
  <c r="M28"/>
  <c r="N28" s="1"/>
  <c r="M16" i="65095"/>
  <c r="N16" s="1"/>
  <c r="M16" i="65094"/>
  <c r="N16" s="1"/>
  <c r="M28"/>
  <c r="D39" i="65125" s="1"/>
  <c r="C39" s="1"/>
  <c r="M16" i="65093"/>
  <c r="N16" s="1"/>
  <c r="G36" i="65124"/>
  <c r="M16" i="65089"/>
  <c r="N16" s="1"/>
  <c r="M28"/>
  <c r="N28" s="1"/>
  <c r="M16" i="65088"/>
  <c r="N16" s="1"/>
  <c r="M28"/>
  <c r="M16" i="65087"/>
  <c r="N16" s="1"/>
  <c r="M28"/>
  <c r="M16" i="65086"/>
  <c r="N16" s="1"/>
  <c r="M28"/>
  <c r="N28" s="1"/>
  <c r="M16" i="65085"/>
  <c r="N16" s="1"/>
  <c r="M16" i="65084"/>
  <c r="M28"/>
  <c r="J30" i="65124" s="1"/>
  <c r="M16" i="65083"/>
  <c r="M28"/>
  <c r="N28" s="1"/>
  <c r="M28" i="65122"/>
  <c r="N28" s="1"/>
  <c r="M16" i="65081"/>
  <c r="M28"/>
  <c r="N28" s="1"/>
  <c r="M16" i="65082"/>
  <c r="N16" s="1"/>
  <c r="M28"/>
  <c r="N28" s="1"/>
  <c r="M16" i="65080"/>
  <c r="N16" s="1"/>
  <c r="M41"/>
  <c r="N41" s="1"/>
  <c r="M16" i="65079"/>
  <c r="N16" s="1"/>
  <c r="G24" i="65124"/>
  <c r="M38" i="65079"/>
  <c r="N38" s="1"/>
  <c r="M16" i="65078"/>
  <c r="N16" s="1"/>
  <c r="N32"/>
  <c r="M16" i="65077"/>
  <c r="N16" s="1"/>
  <c r="J22" i="65124"/>
  <c r="M8" i="65076"/>
  <c r="N8" s="1"/>
  <c r="M19"/>
  <c r="N19" s="1"/>
  <c r="M37"/>
  <c r="N37" s="1"/>
  <c r="M41"/>
  <c r="N41" s="1"/>
  <c r="K21" i="65124"/>
  <c r="J20"/>
  <c r="M16" i="65115"/>
  <c r="N16" s="1"/>
  <c r="M28"/>
  <c r="M16" i="65100"/>
  <c r="N16" s="1"/>
  <c r="M28"/>
  <c r="N28" s="1"/>
  <c r="M16" i="65074"/>
  <c r="M33" s="1"/>
  <c r="N28"/>
  <c r="M16" i="65071"/>
  <c r="M29"/>
  <c r="D17" i="65125" s="1"/>
  <c r="C17" s="1"/>
  <c r="M16" i="65070"/>
  <c r="M30"/>
  <c r="N30" s="1"/>
  <c r="M17" i="65069"/>
  <c r="N17" s="1"/>
  <c r="M29"/>
  <c r="N29" s="1"/>
  <c r="M16" i="65068"/>
  <c r="N16" s="1"/>
  <c r="M28"/>
  <c r="N28" s="1"/>
  <c r="M16" i="65123"/>
  <c r="N16" s="1"/>
  <c r="M28"/>
  <c r="N28" s="1"/>
  <c r="M16" i="65099"/>
  <c r="N16" s="1"/>
  <c r="M28"/>
  <c r="J9" i="65124" s="1"/>
  <c r="M16" i="65067"/>
  <c r="N16" s="1"/>
  <c r="N16" i="65066"/>
  <c r="O16" s="1"/>
  <c r="G7" i="65124"/>
  <c r="N31" i="65066"/>
  <c r="O31" s="1"/>
  <c r="M8" i="65065"/>
  <c r="N8" s="1"/>
  <c r="M21"/>
  <c r="N21" s="1"/>
  <c r="M34"/>
  <c r="N34" s="1"/>
  <c r="M43"/>
  <c r="N43" s="1"/>
  <c r="M46"/>
  <c r="N46" s="1"/>
  <c r="M16" i="16"/>
  <c r="N16" s="1"/>
  <c r="J5" i="65124"/>
  <c r="K8" i="300"/>
  <c r="F10"/>
  <c r="J10"/>
  <c r="F11"/>
  <c r="J11"/>
  <c r="K11" s="1"/>
  <c r="F12"/>
  <c r="J12"/>
  <c r="K12" s="1"/>
  <c r="F13"/>
  <c r="J13"/>
  <c r="K13" s="1"/>
  <c r="D23" i="304"/>
  <c r="K26" i="300"/>
  <c r="K27"/>
  <c r="K28"/>
  <c r="K30"/>
  <c r="K32"/>
  <c r="K33"/>
  <c r="K35"/>
  <c r="F36"/>
  <c r="K38"/>
  <c r="F39"/>
  <c r="K41"/>
  <c r="F44"/>
  <c r="K44"/>
  <c r="F45"/>
  <c r="K45"/>
  <c r="K47"/>
  <c r="F52"/>
  <c r="J52"/>
  <c r="K52" s="1"/>
  <c r="F54"/>
  <c r="J54"/>
  <c r="F55"/>
  <c r="J55"/>
  <c r="K55" s="1"/>
  <c r="F56"/>
  <c r="J56"/>
  <c r="K56" s="1"/>
  <c r="F57"/>
  <c r="J57"/>
  <c r="K57" s="1"/>
  <c r="F58"/>
  <c r="J58"/>
  <c r="K58" s="1"/>
  <c r="F59"/>
  <c r="J59"/>
  <c r="K59" s="1"/>
  <c r="F61"/>
  <c r="J61"/>
  <c r="K61" s="1"/>
  <c r="F65"/>
  <c r="J65"/>
  <c r="K65" s="1"/>
  <c r="F66"/>
  <c r="J66"/>
  <c r="K66" s="1"/>
  <c r="K67"/>
  <c r="F68"/>
  <c r="J68"/>
  <c r="K68" s="1"/>
  <c r="F70"/>
  <c r="J70"/>
  <c r="F71"/>
  <c r="J71"/>
  <c r="K71" s="1"/>
  <c r="F72"/>
  <c r="J72"/>
  <c r="K72" s="1"/>
  <c r="F73"/>
  <c r="J73"/>
  <c r="K73" s="1"/>
  <c r="F76"/>
  <c r="J76"/>
  <c r="K76" s="1"/>
  <c r="F77"/>
  <c r="J77"/>
  <c r="K77" s="1"/>
  <c r="F82"/>
  <c r="J82"/>
  <c r="F83"/>
  <c r="J83"/>
  <c r="K83" s="1"/>
  <c r="F84"/>
  <c r="J84"/>
  <c r="K84" s="1"/>
  <c r="F85"/>
  <c r="J85"/>
  <c r="K85" s="1"/>
  <c r="F87"/>
  <c r="J87"/>
  <c r="K87" s="1"/>
  <c r="F88"/>
  <c r="J88"/>
  <c r="D26" i="304"/>
  <c r="F97" i="300"/>
  <c r="J97"/>
  <c r="K97" s="1"/>
  <c r="F98"/>
  <c r="J98"/>
  <c r="K98" s="1"/>
  <c r="K101"/>
  <c r="K102"/>
  <c r="F34" i="304"/>
  <c r="G34"/>
  <c r="F42" i="65124"/>
  <c r="F33"/>
  <c r="F8"/>
  <c r="J42"/>
  <c r="D43" i="65125"/>
  <c r="C43" s="1"/>
  <c r="D40"/>
  <c r="C40" s="1"/>
  <c r="G38" i="65124"/>
  <c r="J36"/>
  <c r="D38" i="65125"/>
  <c r="C38" s="1"/>
  <c r="J33" i="65124"/>
  <c r="J31"/>
  <c r="D33" i="65125"/>
  <c r="C33" s="1"/>
  <c r="D31"/>
  <c r="C31" s="1"/>
  <c r="J27" i="65124"/>
  <c r="D29" i="65125"/>
  <c r="C29" s="1"/>
  <c r="D25"/>
  <c r="C25" s="1"/>
  <c r="G23" i="65124"/>
  <c r="F21"/>
  <c r="D22" i="65125"/>
  <c r="C22" s="1"/>
  <c r="F20" i="65124"/>
  <c r="D19" i="65125"/>
  <c r="C19" s="1"/>
  <c r="J16" i="65124"/>
  <c r="J12"/>
  <c r="D14" i="65125"/>
  <c r="C14" s="1"/>
  <c r="E16" i="65124"/>
  <c r="E5"/>
  <c r="E40"/>
  <c r="E38"/>
  <c r="E37"/>
  <c r="E35"/>
  <c r="E29"/>
  <c r="E28"/>
  <c r="E27"/>
  <c r="E24"/>
  <c r="E20"/>
  <c r="E18"/>
  <c r="E10"/>
  <c r="E8"/>
  <c r="E6"/>
  <c r="E39"/>
  <c r="E7"/>
  <c r="E17"/>
  <c r="M33" i="65085"/>
  <c r="N33" s="1"/>
  <c r="F13" i="65124"/>
  <c r="G21"/>
  <c r="G22"/>
  <c r="J25"/>
  <c r="F28"/>
  <c r="F37"/>
  <c r="M34" i="65069"/>
  <c r="F24" i="65137" s="1"/>
  <c r="D8" i="65125"/>
  <c r="C8" s="1"/>
  <c r="D18"/>
  <c r="C18" s="1"/>
  <c r="D23"/>
  <c r="C23" s="1"/>
  <c r="J21" i="65124"/>
  <c r="D34" i="65125"/>
  <c r="C34" s="1"/>
  <c r="J32" i="65124"/>
  <c r="J40"/>
  <c r="D10" i="65125"/>
  <c r="C10" s="1"/>
  <c r="J8" i="65124"/>
  <c r="D24" i="65125"/>
  <c r="C24" s="1"/>
  <c r="F22" i="65124"/>
  <c r="J29"/>
  <c r="J38"/>
  <c r="F38"/>
  <c r="D44" i="65125"/>
  <c r="C44" s="1"/>
  <c r="J6" i="65124"/>
  <c r="J18"/>
  <c r="D27" i="65125"/>
  <c r="C27" s="1"/>
  <c r="D26"/>
  <c r="C26" s="1"/>
  <c r="D42"/>
  <c r="C42" s="1"/>
  <c r="G25" i="65124"/>
  <c r="C25"/>
  <c r="G20"/>
  <c r="E17" i="304"/>
  <c r="E29"/>
  <c r="E18"/>
  <c r="E16"/>
  <c r="E31" i="65124" l="1"/>
  <c r="E23"/>
  <c r="F23"/>
  <c r="K10" i="300"/>
  <c r="B2" i="65061"/>
  <c r="M33" i="65081"/>
  <c r="N33" s="1"/>
  <c r="M33" i="65083"/>
  <c r="E14" i="65124"/>
  <c r="J10"/>
  <c r="F34"/>
  <c r="M33" i="65087"/>
  <c r="N33" s="1"/>
  <c r="F32" i="65124"/>
  <c r="J26"/>
  <c r="F25"/>
  <c r="F9" i="300"/>
  <c r="D21" i="304" s="1"/>
  <c r="F12" i="65124"/>
  <c r="M33" i="65115"/>
  <c r="N33" s="1"/>
  <c r="M33" i="65098"/>
  <c r="N33" s="1"/>
  <c r="J41" i="65124"/>
  <c r="J39"/>
  <c r="D41" i="65125"/>
  <c r="C41" s="1"/>
  <c r="J14" i="65124"/>
  <c r="D16" i="65125"/>
  <c r="C16" s="1"/>
  <c r="M34" i="65071"/>
  <c r="M35" s="1"/>
  <c r="G6" i="65124"/>
  <c r="G43" s="1"/>
  <c r="M50" i="65076"/>
  <c r="N50" s="1"/>
  <c r="E34" i="65124"/>
  <c r="M33" i="65088"/>
  <c r="J13" i="65124"/>
  <c r="M33" i="65123"/>
  <c r="N33" s="1"/>
  <c r="E26" i="65124"/>
  <c r="M33" i="65084"/>
  <c r="N33" s="1"/>
  <c r="F39" i="65124"/>
  <c r="J17"/>
  <c r="J35"/>
  <c r="F5"/>
  <c r="F35"/>
  <c r="E32"/>
  <c r="E15"/>
  <c r="D37" i="65125"/>
  <c r="C37" s="1"/>
  <c r="J96" i="300"/>
  <c r="F27" i="304" s="1"/>
  <c r="G27" s="1"/>
  <c r="D30" i="65125"/>
  <c r="C30" s="1"/>
  <c r="M39" i="65077"/>
  <c r="M40" s="1"/>
  <c r="M33" i="65089"/>
  <c r="N33" s="1"/>
  <c r="E41" i="65124"/>
  <c r="E30"/>
  <c r="D12" i="65125"/>
  <c r="C12" s="1"/>
  <c r="J28" i="65124"/>
  <c r="F31"/>
  <c r="L31" s="1"/>
  <c r="M33" i="65122"/>
  <c r="N33" s="1"/>
  <c r="F24" i="65124"/>
  <c r="J9" i="300"/>
  <c r="K9" s="1"/>
  <c r="M38" i="65095"/>
  <c r="F25" i="65137" s="1"/>
  <c r="G25" s="1"/>
  <c r="D15" i="65125"/>
  <c r="C15" s="1"/>
  <c r="M33" i="65068"/>
  <c r="E36" i="65124"/>
  <c r="M52" i="65065"/>
  <c r="F10" i="65124"/>
  <c r="M36" i="65093"/>
  <c r="N36" s="1"/>
  <c r="J24" i="65124"/>
  <c r="I21"/>
  <c r="I43" s="1"/>
  <c r="F40"/>
  <c r="L40" s="1"/>
  <c r="M33" i="65100"/>
  <c r="M34" s="1"/>
  <c r="N34" s="1"/>
  <c r="F17" i="65124"/>
  <c r="L17" s="1"/>
  <c r="M35" i="65070"/>
  <c r="F29" i="65137" s="1"/>
  <c r="G29" s="1"/>
  <c r="M46" i="65080"/>
  <c r="F76" i="65137" s="1"/>
  <c r="J37" i="65124"/>
  <c r="L37" s="1"/>
  <c r="N28" i="65094"/>
  <c r="N33" i="65083"/>
  <c r="E12" i="65124"/>
  <c r="L12" s="1"/>
  <c r="N52" i="65065"/>
  <c r="J7" i="65124"/>
  <c r="K104" i="300"/>
  <c r="J100"/>
  <c r="F100"/>
  <c r="M33" i="65086"/>
  <c r="N33" s="1"/>
  <c r="N8" i="65079"/>
  <c r="M43"/>
  <c r="M44" s="1"/>
  <c r="N8" i="65075"/>
  <c r="M41"/>
  <c r="M42" s="1"/>
  <c r="N42" s="1"/>
  <c r="F86" i="300"/>
  <c r="F81"/>
  <c r="F69"/>
  <c r="K82"/>
  <c r="J81"/>
  <c r="K81" s="1"/>
  <c r="J69"/>
  <c r="K69" s="1"/>
  <c r="F60"/>
  <c r="F51"/>
  <c r="J60"/>
  <c r="K60" s="1"/>
  <c r="K88"/>
  <c r="J86"/>
  <c r="K86" s="1"/>
  <c r="K54"/>
  <c r="J51"/>
  <c r="K51" s="1"/>
  <c r="M33" i="65082"/>
  <c r="F70" i="65137" s="1"/>
  <c r="D28" i="65125"/>
  <c r="C28" s="1"/>
  <c r="F26" i="65124"/>
  <c r="F18"/>
  <c r="L18" s="1"/>
  <c r="K70" i="300"/>
  <c r="F6" i="65124"/>
  <c r="M39" i="65078"/>
  <c r="N39" s="1"/>
  <c r="J23" i="65124"/>
  <c r="N33" i="65088"/>
  <c r="N8" i="65080"/>
  <c r="H6" i="65124"/>
  <c r="H43" s="1"/>
  <c r="F61" i="65137"/>
  <c r="G61" s="1"/>
  <c r="E22" i="65124"/>
  <c r="L22" s="1"/>
  <c r="F40" i="300"/>
  <c r="K36"/>
  <c r="K34"/>
  <c r="L28" i="65124"/>
  <c r="E42"/>
  <c r="N13" i="65105"/>
  <c r="F41" i="65124"/>
  <c r="L41" s="1"/>
  <c r="N16" i="65098"/>
  <c r="D36" i="65125"/>
  <c r="C36" s="1"/>
  <c r="N28" i="65088"/>
  <c r="D35" i="65125"/>
  <c r="C35" s="1"/>
  <c r="N28" i="65087"/>
  <c r="E33" i="65124"/>
  <c r="L33" s="1"/>
  <c r="N13" i="65087"/>
  <c r="D32" i="65125"/>
  <c r="C32" s="1"/>
  <c r="N28" i="65084"/>
  <c r="F30" i="65124"/>
  <c r="N16" i="65084"/>
  <c r="F29" i="65124"/>
  <c r="L29" s="1"/>
  <c r="N16" i="65083"/>
  <c r="F27" i="65124"/>
  <c r="L27" s="1"/>
  <c r="N16" i="65081"/>
  <c r="E25" i="65124"/>
  <c r="N13" i="65080"/>
  <c r="E21" i="65124"/>
  <c r="N16" i="65076"/>
  <c r="F96" i="300"/>
  <c r="D27" i="304" s="1"/>
  <c r="D20" i="65125"/>
  <c r="C20" s="1"/>
  <c r="N28" i="65115"/>
  <c r="F16" i="65124"/>
  <c r="L16" s="1"/>
  <c r="N16" i="65074"/>
  <c r="N33"/>
  <c r="J15" i="65124"/>
  <c r="N29" i="65071"/>
  <c r="F15" i="65124"/>
  <c r="N16" i="65071"/>
  <c r="F14" i="65124"/>
  <c r="N16" i="65070"/>
  <c r="E13" i="65124"/>
  <c r="N13" i="65069"/>
  <c r="M35"/>
  <c r="N35" s="1"/>
  <c r="N34"/>
  <c r="D11" i="65125"/>
  <c r="C11" s="1"/>
  <c r="N28" i="65099"/>
  <c r="M33"/>
  <c r="N33" s="1"/>
  <c r="E9" i="65124"/>
  <c r="N13" i="65099"/>
  <c r="L8" i="65124"/>
  <c r="D7" i="65125"/>
  <c r="C7" s="1"/>
  <c r="N28" i="16"/>
  <c r="M34" i="65115"/>
  <c r="N34" s="1"/>
  <c r="M51" i="65076"/>
  <c r="K90" i="300"/>
  <c r="K91"/>
  <c r="K22"/>
  <c r="E77" i="65137"/>
  <c r="G24"/>
  <c r="L38" i="65124"/>
  <c r="J108" i="300"/>
  <c r="F36" i="304" s="1"/>
  <c r="G36" s="1"/>
  <c r="F108" i="300"/>
  <c r="M33" i="65094"/>
  <c r="K37" i="300"/>
  <c r="M33" i="65067"/>
  <c r="N33" s="1"/>
  <c r="L5" i="65124"/>
  <c r="E14" i="304"/>
  <c r="E40" s="1"/>
  <c r="G19"/>
  <c r="M33" i="65096"/>
  <c r="F36" i="65124"/>
  <c r="J34"/>
  <c r="E8" i="65137"/>
  <c r="D43" i="65124"/>
  <c r="F9"/>
  <c r="F37" i="300"/>
  <c r="F34"/>
  <c r="N36" i="65066"/>
  <c r="O36" s="1"/>
  <c r="D9" i="65125"/>
  <c r="C9" s="1"/>
  <c r="F7" i="65124"/>
  <c r="L7" s="1"/>
  <c r="E23" i="65137"/>
  <c r="M34" i="16"/>
  <c r="M33" i="65097"/>
  <c r="E30" i="65137"/>
  <c r="E68"/>
  <c r="L32" i="65124"/>
  <c r="K43"/>
  <c r="F17" i="300"/>
  <c r="F15" s="1"/>
  <c r="D22" i="304" s="1"/>
  <c r="L20" i="65124"/>
  <c r="K40" i="300"/>
  <c r="E35" i="304"/>
  <c r="L35" i="65124" l="1"/>
  <c r="F69" i="65137"/>
  <c r="G69" s="1"/>
  <c r="F25" i="300"/>
  <c r="N35" i="65071"/>
  <c r="M35" i="65141"/>
  <c r="N35" s="1"/>
  <c r="J113" i="300"/>
  <c r="L34" i="65124"/>
  <c r="N34" i="65071"/>
  <c r="L23" i="65124"/>
  <c r="M34" i="65098"/>
  <c r="N34" s="1"/>
  <c r="L13" i="65124"/>
  <c r="L21"/>
  <c r="L15"/>
  <c r="N38" i="65095"/>
  <c r="L10" i="65124"/>
  <c r="L24"/>
  <c r="L39"/>
  <c r="M39" i="65095"/>
  <c r="N39" s="1"/>
  <c r="L30" i="65124"/>
  <c r="L14"/>
  <c r="N33" i="65068"/>
  <c r="M34"/>
  <c r="N34" s="1"/>
  <c r="L25" i="65124"/>
  <c r="L26"/>
  <c r="L44"/>
  <c r="K96" i="300"/>
  <c r="F21" i="304"/>
  <c r="G21" s="1"/>
  <c r="N39" i="65077"/>
  <c r="N35" i="65070"/>
  <c r="L36" i="65124"/>
  <c r="F86" i="65137"/>
  <c r="M37" i="65093"/>
  <c r="M38" s="1"/>
  <c r="N38" s="1"/>
  <c r="N33" i="65100"/>
  <c r="N33" i="65082"/>
  <c r="G70" i="65137"/>
  <c r="F26"/>
  <c r="G26" s="1"/>
  <c r="F32"/>
  <c r="G32" s="1"/>
  <c r="F9"/>
  <c r="M40" i="65078"/>
  <c r="N40" s="1"/>
  <c r="M37" i="65140"/>
  <c r="M38" s="1"/>
  <c r="E43" i="65124"/>
  <c r="K21" i="300"/>
  <c r="N41" i="65075"/>
  <c r="M34" i="65089"/>
  <c r="N34" s="1"/>
  <c r="N43" i="65079"/>
  <c r="L6" i="65124"/>
  <c r="M34" i="65122"/>
  <c r="N34" s="1"/>
  <c r="M36" i="65069"/>
  <c r="N36" s="1"/>
  <c r="F50" i="300"/>
  <c r="D25" i="304" s="1"/>
  <c r="L9" i="65124"/>
  <c r="J43"/>
  <c r="N46" i="65080"/>
  <c r="N34" i="16"/>
  <c r="M35"/>
  <c r="M43" i="65075"/>
  <c r="N43" s="1"/>
  <c r="G29" i="304"/>
  <c r="D36"/>
  <c r="D35" s="1"/>
  <c r="D37" s="1"/>
  <c r="D45" i="65125"/>
  <c r="F43" i="65124"/>
  <c r="F23" i="304"/>
  <c r="G23" s="1"/>
  <c r="M34" i="65097"/>
  <c r="N34" s="1"/>
  <c r="N33"/>
  <c r="M34" i="65096"/>
  <c r="N34" s="1"/>
  <c r="N33"/>
  <c r="M34" i="65094"/>
  <c r="N33"/>
  <c r="N35" i="65115"/>
  <c r="E30" i="304"/>
  <c r="E32" s="1"/>
  <c r="D31"/>
  <c r="D30" s="1"/>
  <c r="D32" s="1"/>
  <c r="F26"/>
  <c r="G26" s="1"/>
  <c r="M45" i="65079"/>
  <c r="N45" s="1"/>
  <c r="N44"/>
  <c r="M40" i="65095"/>
  <c r="N40" s="1"/>
  <c r="M41" i="65077"/>
  <c r="N40"/>
  <c r="M52" i="65076"/>
  <c r="N52" s="1"/>
  <c r="N51"/>
  <c r="F31" i="304"/>
  <c r="F30" s="1"/>
  <c r="K100" i="300"/>
  <c r="C45" i="65125"/>
  <c r="K17" i="300"/>
  <c r="K108"/>
  <c r="G11" i="65137"/>
  <c r="J50" i="300"/>
  <c r="E7" i="65137"/>
  <c r="G18" i="304"/>
  <c r="E37"/>
  <c r="M35" i="65098" l="1"/>
  <c r="N35" s="1"/>
  <c r="M35" i="65068"/>
  <c r="N35" s="1"/>
  <c r="N37" i="65093"/>
  <c r="M41" i="65078"/>
  <c r="N41" s="1"/>
  <c r="F68" i="65137"/>
  <c r="G68" s="1"/>
  <c r="G76"/>
  <c r="M35" i="65089"/>
  <c r="N35" s="1"/>
  <c r="N41" i="65077"/>
  <c r="G9" i="65137"/>
  <c r="F8"/>
  <c r="G8" s="1"/>
  <c r="M36" i="16"/>
  <c r="N36" s="1"/>
  <c r="N35"/>
  <c r="F32" i="304"/>
  <c r="G32" s="1"/>
  <c r="M35" i="65097"/>
  <c r="N35" s="1"/>
  <c r="F23" i="65137"/>
  <c r="G23" s="1"/>
  <c r="M35" i="65096"/>
  <c r="N35" s="1"/>
  <c r="G30" i="304"/>
  <c r="G31"/>
  <c r="N34" i="65094"/>
  <c r="M35"/>
  <c r="N35" s="1"/>
  <c r="E20" i="304"/>
  <c r="E28" s="1"/>
  <c r="E33" s="1"/>
  <c r="D24"/>
  <c r="D20" s="1"/>
  <c r="F35"/>
  <c r="F24"/>
  <c r="G24" s="1"/>
  <c r="K25" i="300"/>
  <c r="F25" i="304"/>
  <c r="G25" s="1"/>
  <c r="K50" i="300"/>
  <c r="N35" i="65123"/>
  <c r="N34"/>
  <c r="F7" i="300"/>
  <c r="G16" i="304"/>
  <c r="F77" i="65137" l="1"/>
  <c r="G86"/>
  <c r="E41" i="304"/>
  <c r="E42" s="1"/>
  <c r="D41"/>
  <c r="D42" s="1"/>
  <c r="D28"/>
  <c r="D33" s="1"/>
  <c r="D38" s="1"/>
  <c r="F37"/>
  <c r="G37" s="1"/>
  <c r="G35"/>
  <c r="E38"/>
  <c r="G77" i="65137" l="1"/>
  <c r="G17" i="304" l="1"/>
  <c r="N9" i="65105" l="1"/>
  <c r="M8"/>
  <c r="N8" s="1"/>
  <c r="C42" i="65124"/>
  <c r="C43" s="1"/>
  <c r="L42" l="1"/>
  <c r="L43" s="1"/>
  <c r="M33" i="65105"/>
  <c r="J15" i="300"/>
  <c r="J7" s="1"/>
  <c r="K7" s="1"/>
  <c r="C122" l="1"/>
  <c r="F39" i="65137"/>
  <c r="F30" s="1"/>
  <c r="F7" s="1"/>
  <c r="M34" i="65105"/>
  <c r="N34" s="1"/>
  <c r="N33"/>
  <c r="K15" i="300"/>
  <c r="F22" i="304"/>
  <c r="G22" s="1"/>
  <c r="M35" i="65105"/>
  <c r="N35" s="1"/>
  <c r="G39" i="65137" l="1"/>
  <c r="K113" i="300"/>
  <c r="F20" i="304"/>
  <c r="G20" s="1"/>
  <c r="G30" i="65137"/>
  <c r="G7"/>
  <c r="F41" i="304" l="1"/>
  <c r="G41" s="1"/>
  <c r="F53" i="65139"/>
  <c r="G53" s="1"/>
  <c r="F48" l="1"/>
  <c r="G48" l="1"/>
  <c r="F47"/>
  <c r="G47" l="1"/>
  <c r="F5"/>
  <c r="G5" l="1"/>
  <c r="D2" i="65061"/>
  <c r="C2" s="1"/>
  <c r="A3" s="1"/>
  <c r="F15" i="304"/>
  <c r="F173" i="65139"/>
  <c r="F14" i="304" l="1"/>
  <c r="G15"/>
  <c r="G173" i="65139"/>
  <c r="F236"/>
  <c r="G236" l="1"/>
  <c r="F247"/>
  <c r="G247" s="1"/>
  <c r="G14" i="304"/>
  <c r="F28"/>
  <c r="F40"/>
  <c r="F33" l="1"/>
  <c r="G28"/>
  <c r="G40"/>
  <c r="F42"/>
  <c r="G42" l="1"/>
  <c r="L45" i="65124"/>
  <c r="L46" s="1"/>
  <c r="G33" i="304"/>
  <c r="F38"/>
  <c r="G38" s="1"/>
</calcChain>
</file>

<file path=xl/sharedStrings.xml><?xml version="1.0" encoding="utf-8"?>
<sst xmlns="http://schemas.openxmlformats.org/spreadsheetml/2006/main" count="2743" uniqueCount="926">
  <si>
    <t>073</t>
  </si>
  <si>
    <t>Bolničke usluge</t>
  </si>
  <si>
    <t>074</t>
  </si>
  <si>
    <t>Usluge zdravstvene zaštite</t>
  </si>
  <si>
    <t>075</t>
  </si>
  <si>
    <t>IiR Zdravstvo</t>
  </si>
  <si>
    <t>076</t>
  </si>
  <si>
    <t>Zdravstvo n. k.</t>
  </si>
  <si>
    <t>08</t>
  </si>
  <si>
    <t>Rekreacija, kultura i religija     (56+….+61)</t>
  </si>
  <si>
    <t>081</t>
  </si>
  <si>
    <t>082</t>
  </si>
  <si>
    <t xml:space="preserve">Usluge kulture </t>
  </si>
  <si>
    <t>083</t>
  </si>
  <si>
    <t>084</t>
  </si>
  <si>
    <t>085</t>
  </si>
  <si>
    <t>IiR Rekreacija, kultura i religija</t>
  </si>
  <si>
    <t>086</t>
  </si>
  <si>
    <t>Rekreacija, kultura i religija n. k.</t>
  </si>
  <si>
    <t>09</t>
  </si>
  <si>
    <t>Obrazovanje         (63+…..+70)</t>
  </si>
  <si>
    <t>091</t>
  </si>
  <si>
    <t>Predškolsko i osnovno obrazovanje</t>
  </si>
  <si>
    <t>092</t>
  </si>
  <si>
    <t>Srednje obrazovanje</t>
  </si>
  <si>
    <t>093</t>
  </si>
  <si>
    <t>Obrazovanje poslije srednje škole koje nije visoko obrazovanje</t>
  </si>
  <si>
    <t>094</t>
  </si>
  <si>
    <t>Visoko obrazovanje</t>
  </si>
  <si>
    <t>095</t>
  </si>
  <si>
    <t>096</t>
  </si>
  <si>
    <t>Pomoćne usluge obrazovanju</t>
  </si>
  <si>
    <t>097</t>
  </si>
  <si>
    <t>IiR Obrazovanje</t>
  </si>
  <si>
    <t>098</t>
  </si>
  <si>
    <t>Obrazovanje n. k.</t>
  </si>
  <si>
    <t>10</t>
  </si>
  <si>
    <t>Socijalna zaštita      (72+…..+80)</t>
  </si>
  <si>
    <t>101</t>
  </si>
  <si>
    <t>Bolest i hendikepiranost</t>
  </si>
  <si>
    <t>102</t>
  </si>
  <si>
    <t>Starost</t>
  </si>
  <si>
    <t>103</t>
  </si>
  <si>
    <t>Nasljednici</t>
  </si>
  <si>
    <t>104</t>
  </si>
  <si>
    <t>105</t>
  </si>
  <si>
    <t>106</t>
  </si>
  <si>
    <t>Stanovanje</t>
  </si>
  <si>
    <t>107</t>
  </si>
  <si>
    <t>Socijalno isključenje n. k.</t>
  </si>
  <si>
    <t>108</t>
  </si>
  <si>
    <t>IiR Socijalna zaštita</t>
  </si>
  <si>
    <t>109</t>
  </si>
  <si>
    <t>Socijalna zaštita n. k.</t>
  </si>
  <si>
    <t>Ukupni rashodi (zbroj funkcija) (2+11+17+24+34+41+48+55+62+71)</t>
  </si>
  <si>
    <t>INDEX
4/3</t>
  </si>
  <si>
    <t xml:space="preserve">IiR Zaštita životne sredine </t>
  </si>
  <si>
    <t xml:space="preserve">Religijske i druge zajedničke usluge </t>
  </si>
  <si>
    <t>Opće javne usluge       (3+…..+10)</t>
  </si>
  <si>
    <t>Izvršni i zakonodavni organi, financijski i fiskalni poslovi, vanjski poslovi</t>
  </si>
  <si>
    <t>Transferi općeg karaktera između različitih razina vlasti</t>
  </si>
  <si>
    <t>Obrana      (12+….+16)</t>
  </si>
  <si>
    <t>Vojna obrana</t>
  </si>
  <si>
    <t>Civilna obrana</t>
  </si>
  <si>
    <t>Inozemna vojna pomoć</t>
  </si>
  <si>
    <t>IiR Obrana</t>
  </si>
  <si>
    <t>Obrana n. k.</t>
  </si>
  <si>
    <t>Promet</t>
  </si>
  <si>
    <t>Zaštita raznovrsnosti flore i faune i zaštita okoliša</t>
  </si>
  <si>
    <t>Vodoopskrba</t>
  </si>
  <si>
    <t>Izvanbolničke usluge</t>
  </si>
  <si>
    <t xml:space="preserve">Usluge emitiranja i izdavaštva </t>
  </si>
  <si>
    <t>Obrazovanje koje nije definirano razinom</t>
  </si>
  <si>
    <t>Obitelj i djeca</t>
  </si>
  <si>
    <t>Neuposlenost</t>
  </si>
  <si>
    <t>I - PRIHODI, PRIMICI I FINANCIRANJE</t>
  </si>
  <si>
    <t xml:space="preserve">II - RASHODI I IZDACI  </t>
  </si>
  <si>
    <t>Ministarstvo
(razdjel)</t>
  </si>
  <si>
    <t>Proračunska
institucija</t>
  </si>
  <si>
    <t>OPIS</t>
  </si>
  <si>
    <t>01</t>
  </si>
  <si>
    <t>0001</t>
  </si>
  <si>
    <t xml:space="preserve"> Doprinosi poslodavca</t>
  </si>
  <si>
    <t xml:space="preserve"> Putni troškovi</t>
  </si>
  <si>
    <t xml:space="preserve"> Izdaci za energiju</t>
  </si>
  <si>
    <t xml:space="preserve"> Izdaci za usluge prijevoza i goriva</t>
  </si>
  <si>
    <t xml:space="preserve"> Izdaci za tekuće održavanje</t>
  </si>
  <si>
    <t xml:space="preserve"> Tekuće održavanje cesta</t>
  </si>
  <si>
    <t xml:space="preserve"> Kapitalni grantovi</t>
  </si>
  <si>
    <t xml:space="preserve"> Izdaci za nabavku stalnih sredstava</t>
  </si>
  <si>
    <t xml:space="preserve"> Nabavka građevina</t>
  </si>
  <si>
    <t xml:space="preserve"> Nabavka opreme</t>
  </si>
  <si>
    <t xml:space="preserve"> Ukupan broj zaposlenih:</t>
  </si>
  <si>
    <t xml:space="preserve"> Ukupno za proračunsku instituciju:</t>
  </si>
  <si>
    <t xml:space="preserve"> Ukupno za ministarstvo (razdjel):</t>
  </si>
  <si>
    <t xml:space="preserve"> Tekuća pričuva Vlade</t>
  </si>
  <si>
    <t xml:space="preserve"> Tekuća pričuva predsjednika Vlade</t>
  </si>
  <si>
    <t xml:space="preserve"> Grantovi za povratak raseljenih osoba</t>
  </si>
  <si>
    <t>616000</t>
  </si>
  <si>
    <t>614200</t>
  </si>
  <si>
    <t>614300</t>
  </si>
  <si>
    <t>614100</t>
  </si>
  <si>
    <t xml:space="preserve"> Tekuća pričuva ministra financija</t>
  </si>
  <si>
    <t>Potrošačka
jedinica</t>
  </si>
  <si>
    <t xml:space="preserve"> Ostali grantovi-povrat i drugo</t>
  </si>
  <si>
    <t xml:space="preserve"> Isplate stipendija</t>
  </si>
  <si>
    <t xml:space="preserve"> Ukupno za potrošačku jedinicu:</t>
  </si>
  <si>
    <t xml:space="preserve"> Grant za zaštitu od prirodnih i drugih nesreća</t>
  </si>
  <si>
    <t>SKUPŠTINA ŽUPANIJE POSAVSKE</t>
  </si>
  <si>
    <t>0002</t>
  </si>
  <si>
    <t>VLADA ŽUPANIJE POSAVSKE</t>
  </si>
  <si>
    <t>11</t>
  </si>
  <si>
    <t xml:space="preserve"> Rashodi - Tekuća pričuva</t>
  </si>
  <si>
    <t xml:space="preserve"> Tekuća pričuva zamjenika pred. Vlade</t>
  </si>
  <si>
    <t>0003</t>
  </si>
  <si>
    <t>0004</t>
  </si>
  <si>
    <t>12</t>
  </si>
  <si>
    <t>MINISTARSTVO UNUTARNJIH POSLOVA ŽUPANIJE POSAVSKE</t>
  </si>
  <si>
    <t>13</t>
  </si>
  <si>
    <t>14</t>
  </si>
  <si>
    <t>02</t>
  </si>
  <si>
    <t>05</t>
  </si>
  <si>
    <t>15</t>
  </si>
  <si>
    <t>16</t>
  </si>
  <si>
    <t>17</t>
  </si>
  <si>
    <t>18</t>
  </si>
  <si>
    <t>19</t>
  </si>
  <si>
    <t>20</t>
  </si>
  <si>
    <t>03</t>
  </si>
  <si>
    <t>0005</t>
  </si>
  <si>
    <t>0006</t>
  </si>
  <si>
    <t>0007</t>
  </si>
  <si>
    <t>21</t>
  </si>
  <si>
    <t>22</t>
  </si>
  <si>
    <t>23</t>
  </si>
  <si>
    <t>KANTONALNI SUD ODŽAK</t>
  </si>
  <si>
    <t>24</t>
  </si>
  <si>
    <t>26</t>
  </si>
  <si>
    <t>27</t>
  </si>
  <si>
    <t xml:space="preserve"> UKUPNI IZDACI </t>
  </si>
  <si>
    <t xml:space="preserve"> Doprinosi poslodavca i ostali doprinosi</t>
  </si>
  <si>
    <t xml:space="preserve"> Plaće i naknade troškova zaposlenih</t>
  </si>
  <si>
    <t xml:space="preserve"> Izdaci za materijal, sitan inv. i usluge</t>
  </si>
  <si>
    <t xml:space="preserve"> Nabavka materijala i sitnog inventara</t>
  </si>
  <si>
    <t xml:space="preserve"> Izdaci osiguranja, bank. usluga i usluga p.p.</t>
  </si>
  <si>
    <t xml:space="preserve"> Ugovorene i druge posebne usluge</t>
  </si>
  <si>
    <t xml:space="preserve"> </t>
  </si>
  <si>
    <t xml:space="preserve"> Grant za zaštitu okoliša</t>
  </si>
  <si>
    <t xml:space="preserve"> Vozački ispiti-vlastiti prihodi</t>
  </si>
  <si>
    <t>28</t>
  </si>
  <si>
    <t>ŽUPANIJSKA UPRAVA ZA INSPEKCIJSKE POSLOVE</t>
  </si>
  <si>
    <t>I PRIHODI OD POREZA</t>
  </si>
  <si>
    <t>Ekonomski kod</t>
  </si>
  <si>
    <t xml:space="preserve"> Izdaci za negativne tečajne razlike</t>
  </si>
  <si>
    <t>II NEPOREZNI PRIHODI</t>
  </si>
  <si>
    <t>1.Porez na dobit pojedinaca i poduzeća</t>
  </si>
  <si>
    <t>3.Porez na imovinu</t>
  </si>
  <si>
    <t>5.Porez na dohodak</t>
  </si>
  <si>
    <t>6.Prihodi od neizravnih poreza</t>
  </si>
  <si>
    <t>7.Ostali porezi</t>
  </si>
  <si>
    <t>3.Novčane kazne</t>
  </si>
  <si>
    <t>06</t>
  </si>
  <si>
    <t>I  OPĆI DIO</t>
  </si>
  <si>
    <t>Članak 1.</t>
  </si>
  <si>
    <t xml:space="preserve">Bosna i Hercegovina </t>
  </si>
  <si>
    <t>ŽUPANIJA POSAVSKA</t>
  </si>
  <si>
    <t xml:space="preserve">Skupština </t>
  </si>
  <si>
    <t xml:space="preserve"> Bruto plaće i naknade plaća</t>
  </si>
  <si>
    <t xml:space="preserve"> Naknade troškova zaposlenih</t>
  </si>
  <si>
    <t xml:space="preserve"> Izdaci za komunikaciju i komunalne usluge</t>
  </si>
  <si>
    <t xml:space="preserve"> Unajmljivanje imovine, opreme i nemat.imovine</t>
  </si>
  <si>
    <t xml:space="preserve"> Tekući grantovi i drugi tekući rashodi</t>
  </si>
  <si>
    <t xml:space="preserve"> Izdaci za kamate </t>
  </si>
  <si>
    <t xml:space="preserve"> Izdaci za otplate dugova</t>
  </si>
  <si>
    <t xml:space="preserve"> Izdaci za kamate</t>
  </si>
  <si>
    <t>614500</t>
  </si>
  <si>
    <t>615100</t>
  </si>
  <si>
    <t>1.Prihodi od poduzetničkih aktivnosti i imovine i prihodi od pozitivnih tečajnih razlika</t>
  </si>
  <si>
    <t>Izdaci za otplate dugova</t>
  </si>
  <si>
    <t>Članak 2.</t>
  </si>
  <si>
    <t>II POSEBAN DIO</t>
  </si>
  <si>
    <t>Članak 3.</t>
  </si>
  <si>
    <t xml:space="preserve"> Grant za razvoj turizma</t>
  </si>
  <si>
    <t xml:space="preserve"> Grant za Crveni križ Županije Posavske</t>
  </si>
  <si>
    <t>ŽUPANIJSKO PRAVOBRANITELJSTVO</t>
  </si>
  <si>
    <t xml:space="preserve"> Grant za Gospodarsku komoru ŽP</t>
  </si>
  <si>
    <t>SADRŽAJ</t>
  </si>
  <si>
    <t>1.</t>
  </si>
  <si>
    <t xml:space="preserve">Opći dio </t>
  </si>
  <si>
    <t>2.</t>
  </si>
  <si>
    <t>Prihodi, primici i financiranje</t>
  </si>
  <si>
    <t>3.</t>
  </si>
  <si>
    <t>4.</t>
  </si>
  <si>
    <t>Posebni dio</t>
  </si>
  <si>
    <t>Skupština Županije Posavske</t>
  </si>
  <si>
    <t>Vlada Županije Posavske</t>
  </si>
  <si>
    <t>Ministarstvo unutarnjih poslova Županije Posavske</t>
  </si>
  <si>
    <t>Stranica</t>
  </si>
  <si>
    <t>Kantonalni sud Odžak</t>
  </si>
  <si>
    <t>Županijsko pravobraniteljstvo</t>
  </si>
  <si>
    <t>Županijska uprava za inspekcijske poslove</t>
  </si>
  <si>
    <t>Završne odredbe</t>
  </si>
  <si>
    <t>RB</t>
  </si>
  <si>
    <t>5.</t>
  </si>
  <si>
    <t>O P I S</t>
  </si>
  <si>
    <t xml:space="preserve"> Grant za Sveučilište u Mostaru</t>
  </si>
  <si>
    <t>Članak 4.</t>
  </si>
  <si>
    <t>Članak 5.</t>
  </si>
  <si>
    <t xml:space="preserve">   Porezi na dobit pojedinaca (zaostale uplate poreza)</t>
  </si>
  <si>
    <t xml:space="preserve">   Porez na dobit od gospodarskih i profesionalnih djelatnosti</t>
  </si>
  <si>
    <t xml:space="preserve">   Porez na prihod od imovine i imovinskih prava</t>
  </si>
  <si>
    <t xml:space="preserve">   Porez na dobit</t>
  </si>
  <si>
    <t xml:space="preserve">   Porez po odbitku</t>
  </si>
  <si>
    <t xml:space="preserve">   Porez na dobit poduzeća</t>
  </si>
  <si>
    <t>2.Porezi na plaću i radnu snagu (zaostale uplate poreza)</t>
  </si>
  <si>
    <t xml:space="preserve">   Porezi na plaću i druga osobna primanja</t>
  </si>
  <si>
    <t xml:space="preserve">   Porezi na dodatna primanja</t>
  </si>
  <si>
    <t xml:space="preserve">   Porez na imovinu od fizičkih osoba</t>
  </si>
  <si>
    <t xml:space="preserve">   Porez na imovinu od pravnih osoba</t>
  </si>
  <si>
    <t xml:space="preserve">   Porez na imovinu za motorna vozila</t>
  </si>
  <si>
    <t xml:space="preserve">   Porez na naslijeđe i darove</t>
  </si>
  <si>
    <t xml:space="preserve">   Porez na promet nepokretnosti - fizičkih osoba</t>
  </si>
  <si>
    <t xml:space="preserve">   Porez na promet nepokretnosti - pravnih osoba</t>
  </si>
  <si>
    <t>4.Domaći porezi na dobra i usluge (zaostale obveze na 
   temelju poreza na promet dobara i usluga)</t>
  </si>
  <si>
    <t xml:space="preserve">   Porez na promet proizvoda (opća stopa od 20%)</t>
  </si>
  <si>
    <t xml:space="preserve">   Kaznena kamata</t>
  </si>
  <si>
    <t xml:space="preserve">   Porez na promet usluga, osim usluga u građevinarstvu</t>
  </si>
  <si>
    <t xml:space="preserve">   Porezi na prodaju dobara i usluga, ukupni promet ili 
   dodanu vrijednost</t>
  </si>
  <si>
    <t xml:space="preserve">   Porez na promet posebnih usluga</t>
  </si>
  <si>
    <t xml:space="preserve">   Porez na dobitke od igara na sreću</t>
  </si>
  <si>
    <t xml:space="preserve">   Ostali porezi na promet proizvoda i usluga</t>
  </si>
  <si>
    <t xml:space="preserve">   Porez na promet osnovnih proizvoda poljoprivrede, ribarstva i 
   proizvoda koji služe za ljudsku prehranu</t>
  </si>
  <si>
    <t xml:space="preserve">   Porez na dohodak</t>
  </si>
  <si>
    <t xml:space="preserve">   Prihodi od poreza na dohodak po konačnom obračunu</t>
  </si>
  <si>
    <t xml:space="preserve">   Prihodi od poreza na dohodak fiz.osoba od nesam.djelatnosti</t>
  </si>
  <si>
    <t xml:space="preserve">   Prihodi od poreza na dohodak fizi.osoba od samost.djelatnosti</t>
  </si>
  <si>
    <t xml:space="preserve">   Prihodi od poreza na dohodak fiz.os.od imovine i imov.prava</t>
  </si>
  <si>
    <t xml:space="preserve">   Prihodi od poreza na dohodak fiz.osoba od ulaganja kapitala</t>
  </si>
  <si>
    <t xml:space="preserve">   Prihodi od poreza na dohodak fizičkih osoba na dobitke od 
   nagradnih igara i igara na sreću</t>
  </si>
  <si>
    <t xml:space="preserve">   Prihodi od poreza na dohodak od dr.samostalnih djelatnosti</t>
  </si>
  <si>
    <t xml:space="preserve">   Prihodi od neizravnih poreza</t>
  </si>
  <si>
    <t xml:space="preserve">   Prihodi od neizravnih poreza koji pripadaju županijama</t>
  </si>
  <si>
    <t xml:space="preserve">   Prihodi od neizravnih poreza koji pripadaju Direkciji cesta</t>
  </si>
  <si>
    <t xml:space="preserve">   Ostali porezi</t>
  </si>
  <si>
    <t xml:space="preserve">   Pos.porez na plaću za zašt.od prir.i dr.nesr.(zaost.obveze)</t>
  </si>
  <si>
    <t xml:space="preserve">   Poseban porez za zaštitu od prirodnih i drugih nesreća po 
   osnovi ugovora o djelu i povr.i privr.poslova (zaostale obveze)</t>
  </si>
  <si>
    <t xml:space="preserve">   Prihodi od nefinanc.jav.poduzeća i financ.jav.institucija</t>
  </si>
  <si>
    <t xml:space="preserve">   Prihodi od davanja prava na eksploataciju prirodnih resursa</t>
  </si>
  <si>
    <t xml:space="preserve">   Ostali prihodi od imovine</t>
  </si>
  <si>
    <t xml:space="preserve">   Prihodi od kamate za depozite u banci</t>
  </si>
  <si>
    <t xml:space="preserve">   Kamata i divid.primljene od pozajmica i udj.u kapitalu</t>
  </si>
  <si>
    <t xml:space="preserve">   Kamate primljene od pozajmica Federaciji</t>
  </si>
  <si>
    <t xml:space="preserve">   Prihodi od pozitivnih tečajnih razlika</t>
  </si>
  <si>
    <t xml:space="preserve">   Administrativne pristojbe</t>
  </si>
  <si>
    <t xml:space="preserve">   Županijske administrativne pristojbe</t>
  </si>
  <si>
    <t xml:space="preserve">   Sudske pristojbe</t>
  </si>
  <si>
    <t xml:space="preserve">   Županijske sudske pristojbe</t>
  </si>
  <si>
    <t xml:space="preserve">   Ostale proračunske naknade</t>
  </si>
  <si>
    <t xml:space="preserve">   Županijske naknade</t>
  </si>
  <si>
    <t xml:space="preserve">   Ostale županijske naknade</t>
  </si>
  <si>
    <t xml:space="preserve">   Naknade za korištenje šuma</t>
  </si>
  <si>
    <t xml:space="preserve">   Naknada za obavljeni tehn.pregl.vozila koja pripada županijama</t>
  </si>
  <si>
    <t xml:space="preserve">   Naknada za opće korisne funkcije šuma</t>
  </si>
  <si>
    <t xml:space="preserve">   Naknada za korištenje državnih šuma</t>
  </si>
  <si>
    <t xml:space="preserve">   Naknada za opće korisne funkc.šuma utvrđene žup.propisima</t>
  </si>
  <si>
    <t xml:space="preserve">   Naknada za obavljanje stručnih poslova u privatnim šumama 
   utvrđena županijskim propisima</t>
  </si>
  <si>
    <t xml:space="preserve">   Naknada za korištenje podataka premjera i katastra</t>
  </si>
  <si>
    <t xml:space="preserve">   Naknada za vršenje usluga iz oblasti premjera i katastra</t>
  </si>
  <si>
    <t xml:space="preserve">   Vodne naknade</t>
  </si>
  <si>
    <t xml:space="preserve">   Posebna vodna naknada za zaštitu od poplava</t>
  </si>
  <si>
    <t xml:space="preserve">   Opća vodna naknada</t>
  </si>
  <si>
    <t xml:space="preserve">   Cestovne naknade</t>
  </si>
  <si>
    <t xml:space="preserve">   Naknada za uporabu cesta za vozila pravnih osoba</t>
  </si>
  <si>
    <t xml:space="preserve">   Naknada za uporabu cesta za vozila građana</t>
  </si>
  <si>
    <t xml:space="preserve">   Naknada za korištenje cestovnog zemljišta</t>
  </si>
  <si>
    <t xml:space="preserve">   Zaostale obveze po osnovi naknada za korištenje šuma</t>
  </si>
  <si>
    <t xml:space="preserve">   Naknada za korištenje općekorisnih funkcija šuma</t>
  </si>
  <si>
    <t xml:space="preserve">   Naknada za zaštitu okoliša</t>
  </si>
  <si>
    <t xml:space="preserve">   Naknada zagađivača okoliša pravnih osoba</t>
  </si>
  <si>
    <t xml:space="preserve">   Prihodi od pružanja javnih usluga</t>
  </si>
  <si>
    <t xml:space="preserve">   Federalna naknada za izvršene veterinarsko-zdravstvene 
   preglede i kontrolu u zemlji</t>
  </si>
  <si>
    <t xml:space="preserve">   Posebna vodna naknada za zaštitu voda za transportna 
   sredstva koja za pogon koriste naftu ili naftne derivate</t>
  </si>
  <si>
    <t xml:space="preserve">   Posebna vodna naknada za zaštitu voda (ispuštanje otpadnih 
   voda, uzgoj ribe, upotrebu umj.đubriva i kemik.za zašt.bilja)</t>
  </si>
  <si>
    <t xml:space="preserve">   Posebna vodna naknada za korištenje površinskih i 
   podzemnih voda za javnu vodoopskrbu</t>
  </si>
  <si>
    <t xml:space="preserve">   Posebne naknade za okoliš koje plaćaju pravne osobe pri 
   svakoj registraciji motornih vozila</t>
  </si>
  <si>
    <t xml:space="preserve">   Posebne naknade za okoliš koje plaćaju fizičke osobe pri 
   svakoj registraciji motornih vozila</t>
  </si>
  <si>
    <t xml:space="preserve">   Posebne naknade za zaštitu od prirodnih i dr.nesreća</t>
  </si>
  <si>
    <t xml:space="preserve">   Naknada za vatrogasne jedinice iz premije osiguranja imovine 
   od požara i prirodnih sila</t>
  </si>
  <si>
    <t xml:space="preserve">   Naknada iz funkcionalne premije osiguranja od 
   autoodgovornosti za vatrogasne jedinice</t>
  </si>
  <si>
    <t xml:space="preserve">   Naknada za zajedničke profesionalne vatrogasne jedinice iz 
   premije osiguranja imovine od požara i prirodnih sila</t>
  </si>
  <si>
    <t xml:space="preserve">   Prihodi od pružanja usluga građanima</t>
  </si>
  <si>
    <t xml:space="preserve">   Prihodi od pružanja usluga pravnim osobama</t>
  </si>
  <si>
    <t xml:space="preserve">   Prihodi od pružanja usluga drugima</t>
  </si>
  <si>
    <t xml:space="preserve">   Prihodi od pružanja usluga drugim razinama vlasti</t>
  </si>
  <si>
    <t xml:space="preserve">   Vlastiti prihodi proračunskih korisnika</t>
  </si>
  <si>
    <t xml:space="preserve">   Neplanirane uplate - prihodi</t>
  </si>
  <si>
    <t xml:space="preserve">   Prihodi od trošk.naplate po osn.pokret.postupka prin.naplate</t>
  </si>
  <si>
    <t xml:space="preserve">   Ostale neplanirane uplate</t>
  </si>
  <si>
    <t xml:space="preserve">   Novčane kazne</t>
  </si>
  <si>
    <t xml:space="preserve">   Novčane kazne po županijskim propisima</t>
  </si>
  <si>
    <t xml:space="preserve">   Ostale kazne</t>
  </si>
  <si>
    <t xml:space="preserve">   Ostali prihodi</t>
  </si>
  <si>
    <t xml:space="preserve">   Novčane kazne za prekršaje koje su registrirane u registru 
   novčanih kazni i troškovi prekršajnog postupka</t>
  </si>
  <si>
    <t>3. Donacije</t>
  </si>
  <si>
    <t xml:space="preserve">   Donacije</t>
  </si>
  <si>
    <t xml:space="preserve">   Domaće donacije</t>
  </si>
  <si>
    <t xml:space="preserve">   Donacije iz inozemstva</t>
  </si>
  <si>
    <t>V  PRIHODI PO OSNOVI ZAOSTALIH OBVEZA</t>
  </si>
  <si>
    <t xml:space="preserve">   Uplate zaostalih obveza od por.na promet visokotar.proizvoda</t>
  </si>
  <si>
    <t xml:space="preserve">   Uplate zaost.obveza od nakn.Za puteve iz cijene naft.derivata</t>
  </si>
  <si>
    <t>VI KAPITALNI PRIMICI</t>
  </si>
  <si>
    <t xml:space="preserve">   Kapitalni primici od prodaje stalnih sredstava</t>
  </si>
  <si>
    <t>1.Kapitalni primici od prodaje stalnih sredstava</t>
  </si>
  <si>
    <t xml:space="preserve">   Porez na imovinu</t>
  </si>
  <si>
    <t xml:space="preserve">   Porezi na plaće (zaostale uplate poreza)</t>
  </si>
  <si>
    <t xml:space="preserve">2.Naknade i pristojbe i prihodi od pružanja javnih usluga </t>
  </si>
  <si>
    <t xml:space="preserve">   Naknade za korištenje, zaštitu i unapređenje šuma 
   utvrđene županijskim propisima</t>
  </si>
  <si>
    <t xml:space="preserve">   Naknade i pristojbe za veterinarske i sanitarne preglede 
   životinja i biljaka</t>
  </si>
  <si>
    <t xml:space="preserve">       9.1.  Izdaci za otplate dugova</t>
  </si>
  <si>
    <t xml:space="preserve">      99999999 Riznica ŽP - Proračunska potpora</t>
  </si>
  <si>
    <t>UKUPNO POREZNI I NEPOREZNI PRIHODI (I+II)</t>
  </si>
  <si>
    <t>UKUPNO PRIHODI (I+II+III+IV+V)</t>
  </si>
  <si>
    <t xml:space="preserve">   Naknade za korištenje poljopr.zemljišta u nepoljopr.svrhe</t>
  </si>
  <si>
    <t xml:space="preserve"> Grant za uređenje poljoprivrednog zemljišta</t>
  </si>
  <si>
    <t>Proračunski
korisnik</t>
  </si>
  <si>
    <t>Bruto plaće
611100</t>
  </si>
  <si>
    <t>Nakn.trošk.zaposlenih
611200</t>
  </si>
  <si>
    <t xml:space="preserve">Tekući grantovi
614000 </t>
  </si>
  <si>
    <t>Kapitalni grantovi
615000</t>
  </si>
  <si>
    <t>Izdaci za kamate
616000</t>
  </si>
  <si>
    <t>Otplate dugova
823000</t>
  </si>
  <si>
    <t>UKUPNO</t>
  </si>
  <si>
    <t>NAZIV</t>
  </si>
  <si>
    <t>Dopr.posl.
612000</t>
  </si>
  <si>
    <t>Mat.trošk.
613000</t>
  </si>
  <si>
    <t>Nab.staln.
sredstava
821000</t>
  </si>
  <si>
    <t>UKUPNO:</t>
  </si>
  <si>
    <t>Tekuća pričuva</t>
  </si>
  <si>
    <t>Proračun</t>
  </si>
  <si>
    <t>Izvor financiranja</t>
  </si>
  <si>
    <t>3=4+5+6</t>
  </si>
  <si>
    <t>1. Primljeni tekući grantovi od inozemnih vlada i 
   međunarodnih organizacija</t>
  </si>
  <si>
    <t xml:space="preserve">   Primljeni tekući grantovi od inoz.vlada i međ.organizacija</t>
  </si>
  <si>
    <t xml:space="preserve">   Primljeni tekući grantovi od međunarodnih organizacija</t>
  </si>
  <si>
    <t>2. Primljeni tekući grantovi od ostalih razina vlasti</t>
  </si>
  <si>
    <t xml:space="preserve">   Primljeni tekući grantovi od ostalih razina vlasti i fondova</t>
  </si>
  <si>
    <t xml:space="preserve">   Primljeni tekući grantovi od ostalih razina vlasti</t>
  </si>
  <si>
    <t xml:space="preserve">   Primljeni tekući grantovi od FBiH</t>
  </si>
  <si>
    <t>IV KAPITALNI GRANTOVI</t>
  </si>
  <si>
    <t>1. Primljeni kapitalni grantovi od inozemnih vlada i 
   međunarodnih organizacija</t>
  </si>
  <si>
    <t xml:space="preserve">   Primljeni kapitalni grantovi od inozemnih vlada i 
   međunarodnih organizacija</t>
  </si>
  <si>
    <t xml:space="preserve">   Primljeni kapitalni grantovi od inozemnih vlada</t>
  </si>
  <si>
    <t>2. Kapitalni grantovi od ostalih razina vlasti</t>
  </si>
  <si>
    <t xml:space="preserve">   Kapitalni grantovi od ostalih razina vlasti i fondova</t>
  </si>
  <si>
    <t xml:space="preserve">   Primljeni kapitalni grantovi od Federacije</t>
  </si>
  <si>
    <t>UKUPNO PRIHODI, TEKUĆI I KAPITALNI GRANTOVI I PRIMICI:</t>
  </si>
  <si>
    <t>Rashodi i izdaci</t>
  </si>
  <si>
    <t>Pokriće deficita</t>
  </si>
  <si>
    <t>III TEKUĆI GRANTOVI (GRANTOVI I DONACIJE)</t>
  </si>
  <si>
    <t>Funk. kod</t>
  </si>
  <si>
    <t>Opis</t>
  </si>
  <si>
    <t>011</t>
  </si>
  <si>
    <t>012</t>
  </si>
  <si>
    <t>Strana ekonomska pomoć</t>
  </si>
  <si>
    <t>013</t>
  </si>
  <si>
    <t>Opće usluge</t>
  </si>
  <si>
    <t>014</t>
  </si>
  <si>
    <t>Osnovno istraživanje</t>
  </si>
  <si>
    <t>015</t>
  </si>
  <si>
    <t>IiR Opće javne usluge</t>
  </si>
  <si>
    <t>016</t>
  </si>
  <si>
    <t>Opće javne usluge n. k.</t>
  </si>
  <si>
    <t>017</t>
  </si>
  <si>
    <t xml:space="preserve">Transakcije vezane za javni dug </t>
  </si>
  <si>
    <t>018</t>
  </si>
  <si>
    <t>021</t>
  </si>
  <si>
    <t>022</t>
  </si>
  <si>
    <t>023</t>
  </si>
  <si>
    <t>024</t>
  </si>
  <si>
    <t>025</t>
  </si>
  <si>
    <t>031</t>
  </si>
  <si>
    <t>Policijske usluge</t>
  </si>
  <si>
    <t>032</t>
  </si>
  <si>
    <t>033</t>
  </si>
  <si>
    <t>Sudovi</t>
  </si>
  <si>
    <t>034</t>
  </si>
  <si>
    <t>Zatvori</t>
  </si>
  <si>
    <t>035</t>
  </si>
  <si>
    <t>IiR  Javni red i sigurnost</t>
  </si>
  <si>
    <t>036</t>
  </si>
  <si>
    <t>Javni red i sigurnost n. k.</t>
  </si>
  <si>
    <t>04</t>
  </si>
  <si>
    <t>Ekonomski poslovi    (25+….+33)</t>
  </si>
  <si>
    <t>041</t>
  </si>
  <si>
    <t>Opći ekonomski, komercijalni i poslovi po pitanju rada</t>
  </si>
  <si>
    <t>042</t>
  </si>
  <si>
    <t>Poljoprivreda, šumarstvo, lov i ribolov</t>
  </si>
  <si>
    <t>043</t>
  </si>
  <si>
    <t>Gorivo i energija</t>
  </si>
  <si>
    <t>044</t>
  </si>
  <si>
    <t xml:space="preserve">Rudarstvo, proizvodnja i izgradnja </t>
  </si>
  <si>
    <t>045</t>
  </si>
  <si>
    <t>046</t>
  </si>
  <si>
    <t>Komunikacije</t>
  </si>
  <si>
    <t>047</t>
  </si>
  <si>
    <t>Ostale industrije</t>
  </si>
  <si>
    <t>048</t>
  </si>
  <si>
    <t>IiR Ekonomski poslovi</t>
  </si>
  <si>
    <t>049</t>
  </si>
  <si>
    <t>Ekonomski poslovi n. k.</t>
  </si>
  <si>
    <t>Zaštita životne sredine      (35+…..+40)</t>
  </si>
  <si>
    <t>051</t>
  </si>
  <si>
    <t xml:space="preserve">Upravljanje otpadom </t>
  </si>
  <si>
    <t>052</t>
  </si>
  <si>
    <t>Upravljanje otpadnim vodama</t>
  </si>
  <si>
    <t>053</t>
  </si>
  <si>
    <t>Smanjenje zagađenosti</t>
  </si>
  <si>
    <t>054</t>
  </si>
  <si>
    <t>055</t>
  </si>
  <si>
    <t>056</t>
  </si>
  <si>
    <t>Zaštita životne sredine n. k.</t>
  </si>
  <si>
    <t>Stambeni i zajednički poslovi    (42+….+47)</t>
  </si>
  <si>
    <t>061</t>
  </si>
  <si>
    <t>Stambeni razvoj</t>
  </si>
  <si>
    <t>062</t>
  </si>
  <si>
    <t>Razvoj zajednice</t>
  </si>
  <si>
    <t>063</t>
  </si>
  <si>
    <t>064</t>
  </si>
  <si>
    <t>Ulična rasvjeta</t>
  </si>
  <si>
    <t>065</t>
  </si>
  <si>
    <t>IiR Stambeni i zajednički poslovi</t>
  </si>
  <si>
    <t>066</t>
  </si>
  <si>
    <t>Stambeni i zajednički poslovi n. k.</t>
  </si>
  <si>
    <t>07</t>
  </si>
  <si>
    <t>Zdravstvo    (49+….+54)</t>
  </si>
  <si>
    <t>071</t>
  </si>
  <si>
    <t>Medicinski proizvodi, uređaji i oprema</t>
  </si>
  <si>
    <t>072</t>
  </si>
  <si>
    <t xml:space="preserve"> Nabavka stalnih sredstava u obliku prava</t>
  </si>
  <si>
    <t xml:space="preserve">   Porez na ukupan prihod fizičkih osoba</t>
  </si>
  <si>
    <t xml:space="preserve">   Porez na promet proizvoda (niža stopa)</t>
  </si>
  <si>
    <t xml:space="preserve">   Posebna vodna naknada za vađenje materijala iz vodotoka</t>
  </si>
  <si>
    <t xml:space="preserve">   Ostali povrati</t>
  </si>
  <si>
    <t xml:space="preserve">       5.1.  Izdaci za nabavku stalnih sredstava</t>
  </si>
  <si>
    <t xml:space="preserve">   Naknada za postavljanje reklamnih panoa</t>
  </si>
  <si>
    <t xml:space="preserve">   Prihodi od mjenice</t>
  </si>
  <si>
    <t xml:space="preserve"> Naknade troškova zaposlenih - volonteri ()</t>
  </si>
  <si>
    <t xml:space="preserve"> Ugovorene i druge posebne usluge-volonteri ()</t>
  </si>
  <si>
    <t xml:space="preserve">   Primici od prodaje prometnih vozila</t>
  </si>
  <si>
    <t xml:space="preserve"> Potpora riznici</t>
  </si>
  <si>
    <t>Namjenski prihodi</t>
  </si>
  <si>
    <t>Grantovi i donacije</t>
  </si>
  <si>
    <t xml:space="preserve">   Primljeni tekući grantovi od inozemnih vlada</t>
  </si>
  <si>
    <t>URED ZA RAZVOJ I EUROPSKE INTEGRACIJE ŽUPANIJE POSAVSKE</t>
  </si>
  <si>
    <t xml:space="preserve"> Ugovorene i druge posebne usluge-prostorni plan</t>
  </si>
  <si>
    <t xml:space="preserve"> o/č Izdaci za tekuće održavanje</t>
  </si>
  <si>
    <t xml:space="preserve"> o/č Tekuće održavanje cesta</t>
  </si>
  <si>
    <t xml:space="preserve"> o/č Izdaci osiguranja, bank. usluga i usluga p.p.</t>
  </si>
  <si>
    <t xml:space="preserve"> o/č Izdaci za negativne tečajne razlike</t>
  </si>
  <si>
    <t xml:space="preserve"> o/č Ugovorene i druge posebne usluge</t>
  </si>
  <si>
    <t xml:space="preserve"> o/č Potpora riznici</t>
  </si>
  <si>
    <t xml:space="preserve"> o/č Vozački ispiti-vlastiti prihodi</t>
  </si>
  <si>
    <t xml:space="preserve"> o/č Ugovorene i druge posebne usluge-prostorni plan</t>
  </si>
  <si>
    <t xml:space="preserve"> o/č Grant za Sveučilište u Mostaru</t>
  </si>
  <si>
    <t xml:space="preserve"> o/č Grant za zaštitu okoliša</t>
  </si>
  <si>
    <t xml:space="preserve"> o/č Grant za razvoj turizma</t>
  </si>
  <si>
    <t xml:space="preserve"> o/č Grant za sufinanciranje nabavke udžbenika učenicima </t>
  </si>
  <si>
    <t xml:space="preserve"> o/č Isplate stipendija</t>
  </si>
  <si>
    <t xml:space="preserve"> o/č Grant za sufinanciranje osn.i srednjeg obrazovanja djece s 
       posebnim potrebama</t>
  </si>
  <si>
    <t xml:space="preserve"> o/č Grant za zaštitu od prirodnih i drugih nesreća</t>
  </si>
  <si>
    <t xml:space="preserve"> o/č Grant za Crveni križ Županije Posavske</t>
  </si>
  <si>
    <t xml:space="preserve"> o/č Grant za Gospodarsku komoru ŽP</t>
  </si>
  <si>
    <t xml:space="preserve"> o/č Grant za uređenje poljoprivrednog zemljišta</t>
  </si>
  <si>
    <t xml:space="preserve"> o/č Ostali grantovi-povrat i drugo</t>
  </si>
  <si>
    <t xml:space="preserve"> o/č Ostali grantovi-izvršenje sudskih presuda i rješenja o 
      izvršenju</t>
  </si>
  <si>
    <t xml:space="preserve"> Tekući grantovi drugim razinama vlasti i fondovima</t>
  </si>
  <si>
    <t xml:space="preserve"> Tekući grantovi pojedincima</t>
  </si>
  <si>
    <t xml:space="preserve"> Tekući grantovi neprofitnim organizacijama</t>
  </si>
  <si>
    <t xml:space="preserve"> Subvencije privatnim poduzećima i poduzetnicima</t>
  </si>
  <si>
    <t xml:space="preserve"> Drugi tekući rashodi</t>
  </si>
  <si>
    <t>Ekon. 
kod</t>
  </si>
  <si>
    <t xml:space="preserve"> Ostali grantovi-izvršenje sudskih presuda i rješenja
 o izvršenju</t>
  </si>
  <si>
    <t xml:space="preserve">   Grantovi od izvanproračunskih fondova</t>
  </si>
  <si>
    <t xml:space="preserve"> o/č Grant za sufinanciranje profesionalne vatrogasne postrojbe</t>
  </si>
  <si>
    <t>Ured za razvoj i europske integracije Županije Posavske</t>
  </si>
  <si>
    <t>Javni red i sihurnost       (18+….+23)</t>
  </si>
  <si>
    <t xml:space="preserve">Usluge protupožarne zaštite </t>
  </si>
  <si>
    <t xml:space="preserve">   Prihodi od zakupa javnog vodnog dobra na površ.vodama I kateg.</t>
  </si>
  <si>
    <t xml:space="preserve">   Ostali prih.za korišt., zaštitu i unapređ.šuma po žup.propisima</t>
  </si>
  <si>
    <t>INDEKS
6/4</t>
  </si>
  <si>
    <t>INDEKS
(4/3)</t>
  </si>
  <si>
    <t xml:space="preserve">   Posebna naknada za zaštitu od prir.i drugih nesreća gdje 
   je osnovica sumarni iznos neto prim.po osnovi dr.samostalne 
   djelatnosti i povremenog samostalnog rada</t>
  </si>
  <si>
    <t xml:space="preserve">   Posebna vodna naknada za korištenje površ..i podzemnih 
   voda za industrijske procese, uključujući i termoelektrane</t>
  </si>
  <si>
    <t xml:space="preserve">   Poseb.vodna naknada za korištenje površ.i podzem.voda za
   flaš.vode i min.vode za uzgoj ribe u ribnj.za navod.i dr.namj.</t>
  </si>
  <si>
    <t xml:space="preserve">   Posebna naknada za zaštitu od prirodnih i drugih nesreća 
   gdje je osnovica sumarni iznos neto plaće za isplatu</t>
  </si>
  <si>
    <t xml:space="preserve">   Posebna vodna naknada za korištenje vode za proizvodnju 
   električne energije</t>
  </si>
  <si>
    <t xml:space="preserve">   Naknade i pristojbe po Fed.zakonima i dr.propisima</t>
  </si>
  <si>
    <t xml:space="preserve"> Grant za Obrtničku komoru ŽP</t>
  </si>
  <si>
    <t xml:space="preserve"> o/č Grant za Obrtničku komoru ŽP</t>
  </si>
  <si>
    <t xml:space="preserve"> Grant za sufinanc.nabavke udžbenika učenicima</t>
  </si>
  <si>
    <t xml:space="preserve">   Grant od Federalnog zavoda za zapošljavanje - osnovne škole</t>
  </si>
  <si>
    <t xml:space="preserve"> Grant za razvoj poduzetništva, obrta i zadruga</t>
  </si>
  <si>
    <t xml:space="preserve"> o/č Grant za razvoj poduzetništva, obrta i zadruga</t>
  </si>
  <si>
    <t xml:space="preserve">   Porez na temelju autorskih prava, patenata i tehn.unapređenja</t>
  </si>
  <si>
    <t xml:space="preserve">   Prihodi od neizravnih poreza na ime financ.autocesta u FBiH</t>
  </si>
  <si>
    <t xml:space="preserve">   Prihodi od zakupa korištenja sportsko-gospodarskih lovišta</t>
  </si>
  <si>
    <t xml:space="preserve">   Federalna naknada za uvjerenje o veterin.-zdravstvenom 
   stanju životinja iz uvoza</t>
  </si>
  <si>
    <t xml:space="preserve">   Povrati naknada troškova zaposlenih</t>
  </si>
  <si>
    <t xml:space="preserve">   Kapitalni grantovi od nevladinih izvora</t>
  </si>
  <si>
    <t xml:space="preserve">   Primljeni tekući grantovi od gradova</t>
  </si>
  <si>
    <t>Subanalitika</t>
  </si>
  <si>
    <t>BA6017</t>
  </si>
  <si>
    <t>BA6014</t>
  </si>
  <si>
    <t>BA6016</t>
  </si>
  <si>
    <t>BA6001</t>
  </si>
  <si>
    <t>BA6008</t>
  </si>
  <si>
    <t>BA6007</t>
  </si>
  <si>
    <t>BA6018</t>
  </si>
  <si>
    <t>BA6010</t>
  </si>
  <si>
    <t>FA6002</t>
  </si>
  <si>
    <t>FA6001</t>
  </si>
  <si>
    <t>GA6003</t>
  </si>
  <si>
    <t>GA6002</t>
  </si>
  <si>
    <t>GA6005</t>
  </si>
  <si>
    <t>GA6006</t>
  </si>
  <si>
    <t>GA6008</t>
  </si>
  <si>
    <t>GA6009</t>
  </si>
  <si>
    <t>IA6004</t>
  </si>
  <si>
    <t>IA6002</t>
  </si>
  <si>
    <t>JA6004</t>
  </si>
  <si>
    <t>JA6008</t>
  </si>
  <si>
    <t>JA6005</t>
  </si>
  <si>
    <t>JA6007</t>
  </si>
  <si>
    <t>KA6007</t>
  </si>
  <si>
    <t>KA6004</t>
  </si>
  <si>
    <t>KA6009</t>
  </si>
  <si>
    <t>KA6003</t>
  </si>
  <si>
    <t>KA6008</t>
  </si>
  <si>
    <t>KA6001</t>
  </si>
  <si>
    <t>KA6006</t>
  </si>
  <si>
    <t>LA6001</t>
  </si>
  <si>
    <t>NA6002</t>
  </si>
  <si>
    <t>NA6003</t>
  </si>
  <si>
    <t>iz prorač.
sredstava</t>
  </si>
  <si>
    <t>iz ostalih izvora</t>
  </si>
  <si>
    <t>8=6+7</t>
  </si>
  <si>
    <t>INDEKS 
8/4</t>
  </si>
  <si>
    <t>822, 823</t>
  </si>
  <si>
    <t>813, 814, 815</t>
  </si>
  <si>
    <t>Ekonomski 
kod</t>
  </si>
  <si>
    <t xml:space="preserve">     1.1.  Prihodi od poreza</t>
  </si>
  <si>
    <t xml:space="preserve">     1.2.  Neporezni prihodi</t>
  </si>
  <si>
    <t xml:space="preserve">     1.3.  Tekući grantovi (grantovi i donacije)</t>
  </si>
  <si>
    <t xml:space="preserve">     1.4.  Kapitalni grantovi</t>
  </si>
  <si>
    <t xml:space="preserve">     1.5.  Prihodi po osnovi zaostalih obveza</t>
  </si>
  <si>
    <t xml:space="preserve">     2.1.  Rashodi - Tekuća pričuva</t>
  </si>
  <si>
    <t xml:space="preserve">     2.2.  Plaće i naknade troškova zaposlenih</t>
  </si>
  <si>
    <t xml:space="preserve">     2.3.  Doprinosi poslodavca i ostali doprinosi</t>
  </si>
  <si>
    <t xml:space="preserve">     2.4.  Izdaci za materijal, sitan inventar i usluge</t>
  </si>
  <si>
    <t xml:space="preserve">     2.5.  Tekući grantovi i drugi tekući rashodi</t>
  </si>
  <si>
    <t xml:space="preserve">     2.6.  Kapitalni grantovi</t>
  </si>
  <si>
    <t xml:space="preserve">     2.7.  Izdaci za kamate</t>
  </si>
  <si>
    <t xml:space="preserve">   1. PRORAČUNSKI PRIHODI (1.1.+1.2.+1.3.+1.4.+1.5.)</t>
  </si>
  <si>
    <t xml:space="preserve">   2. PRORAČUNSKI RASHODI (2.1.+2.2.)</t>
  </si>
  <si>
    <t xml:space="preserve">   3. TEKUĆA BILANCA (1-2)</t>
  </si>
  <si>
    <t xml:space="preserve">   4. PRIMICI OD PRODAJE NEFINANCIJSKE IMOVINE</t>
  </si>
  <si>
    <t xml:space="preserve">   5. IZDACI ZA NABAVKU NEFINANCIJSKE IMOVINE</t>
  </si>
  <si>
    <t xml:space="preserve">   6. NETO NABAVKA NEFINANCIJSKE IMOVINE (4-5)</t>
  </si>
  <si>
    <t xml:space="preserve">   7. UKUPAN SUFICIT/DEFICIT (3+6)</t>
  </si>
  <si>
    <t xml:space="preserve">   8. PRIMICI OD FINANCIJSKE IMOVINE I ZADUŽIVANJA</t>
  </si>
  <si>
    <t xml:space="preserve">   10. NETO FINANCIRANJE (8-9)</t>
  </si>
  <si>
    <t xml:space="preserve">   11. UKUPAN FINANCIJSKI REZULTAT (7+10)</t>
  </si>
  <si>
    <t xml:space="preserve">   UKUPNO PRIHODI, PRIMICI I FINANCIRANJE</t>
  </si>
  <si>
    <t xml:space="preserve">   UKUPNO RASHODI I IZDACI</t>
  </si>
  <si>
    <t xml:space="preserve">   UKUPNO POKRIĆE AKUMULIRANOG DEFICITA</t>
  </si>
  <si>
    <t>6.</t>
  </si>
  <si>
    <t>Bosnia and Herzegovina
Federation of Bosnia and Herzegovina
Posavina County
THE ASSEMBLY</t>
  </si>
  <si>
    <t>Bosna i Hercegovina
Federacija Bosne i 
Hercegovine
Županija Posavska
S K U P Š T I N 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</si>
  <si>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</si>
  <si>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</si>
  <si>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</si>
  <si>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</si>
  <si>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</si>
  <si>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</si>
  <si>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</si>
  <si>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</si>
  <si>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</si>
  <si>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</si>
  <si>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</si>
  <si>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</si>
  <si>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</si>
  <si>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</si>
  <si>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</si>
  <si>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</si>
  <si>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</si>
  <si>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</si>
  <si>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</si>
  <si>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</si>
  <si>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</si>
  <si>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</si>
  <si>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</si>
  <si>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</si>
  <si>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</si>
  <si>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</si>
  <si>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</si>
  <si>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</si>
  <si>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</si>
  <si>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</si>
  <si>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</si>
  <si>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</si>
  <si>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</si>
  <si>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</si>
  <si>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</si>
  <si>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</si>
  <si>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</si>
  <si>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</si>
  <si>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 Grant za sufinanciranje osn.i srednjeg obrazovanja djece s 
 posebnim potrebama</t>
  </si>
  <si>
    <t xml:space="preserve"> Grant za sufinanc.profesionalne vatrogasne postrojbe</t>
  </si>
  <si>
    <t xml:space="preserve">      23010001 Uprava za civilnu zaštitu</t>
  </si>
  <si>
    <t xml:space="preserve">      99999999 Riznica</t>
  </si>
  <si>
    <t xml:space="preserve">   Prihodi od iznajmljivanja zemljišta</t>
  </si>
  <si>
    <t>HA6003</t>
  </si>
  <si>
    <t>HA6004</t>
  </si>
  <si>
    <t>Usluge sporta i rekreacije</t>
  </si>
  <si>
    <t xml:space="preserve">   Naknada zagađivača okoliša fizičkih osoba</t>
  </si>
  <si>
    <t xml:space="preserve">   Prihodi od prodanih pristojbenih biljega</t>
  </si>
  <si>
    <t xml:space="preserve">   Kamate primljene od pozajmica Državi</t>
  </si>
  <si>
    <t xml:space="preserve">      17010001 Ministarstvo zdravstva i socijalne politike - 
      Civilne žrtve rata</t>
  </si>
  <si>
    <t xml:space="preserve">     15010001 Min.gospod.,radai prost.uređenja-Prostorni plan</t>
  </si>
  <si>
    <t xml:space="preserve">      20010001 Ministarstvo prosvjete, znanosti, kulture i sporta - 
      Nabavka besplatnih udžbenika</t>
  </si>
  <si>
    <t>KA6012</t>
  </si>
  <si>
    <t>KA6013</t>
  </si>
  <si>
    <t>FA6003</t>
  </si>
  <si>
    <t>FA6004</t>
  </si>
  <si>
    <t>615500</t>
  </si>
  <si>
    <t xml:space="preserve"> Rekonstrukcija i investicijsko održavanje regionalnih cesta</t>
  </si>
  <si>
    <t xml:space="preserve"> Rekonstrukcija i investicijsko održavanje lokalnih cesta</t>
  </si>
  <si>
    <t>IA6005</t>
  </si>
  <si>
    <t>IA6006</t>
  </si>
  <si>
    <t>BA6020</t>
  </si>
  <si>
    <t>URED ZA OBNOVU, STAMBENO ZBRINJAVANJE I RASELJENE OSOBE VLADE ŽUPANIJE POSAVSKE</t>
  </si>
  <si>
    <t>Ured za obnovu, stambeno zbrinjavanje i raseljene osobe Vlade ŽP</t>
  </si>
  <si>
    <t>Zajednička služba Vlade Županije Posavske</t>
  </si>
  <si>
    <t>ZAJEDNIČKA SLUŽBA VLADE ŽUPANIJE POSAVSKE</t>
  </si>
  <si>
    <t>Služba za odnose s javnošću Vlade Županije Posavske</t>
  </si>
  <si>
    <t>SLUŽBA ZA ODNOSE S JAVNOŠĆU VLADE ŽUPANIJE POSAVSKE</t>
  </si>
  <si>
    <t>Ured za zakonodavstvo Vlade Županije Posavske</t>
  </si>
  <si>
    <t>URED ZA ZAKONODAVSTVO VLADE ŽUPANIJE POSAVSKE</t>
  </si>
  <si>
    <t>Ministarstvo pravosuđa i uprave Županije Posavske</t>
  </si>
  <si>
    <t>Ministarstvo gospodarstva, rada i prostornog uređenja Županije Posavske</t>
  </si>
  <si>
    <t>Ministarstvo financija Županije Posavske</t>
  </si>
  <si>
    <t>Ministarstvo zdravstva i socijalne politike Županije Posavske</t>
  </si>
  <si>
    <t>Ministarstvo prometa, veza i zaštite okoliša Županije Posavske</t>
  </si>
  <si>
    <t>Ministarstvo poljoprivrede, vodoprivrede i šumarstva Županije Posavske</t>
  </si>
  <si>
    <t>Ministarstvo prosvjete, znanosti, kulture i sporta Županije Posavske</t>
  </si>
  <si>
    <t>Ministarstvo branitelja Županije Posavske</t>
  </si>
  <si>
    <t>MINISTARSTVO PRAVOSUĐA I UPRAVE ŽUPANIJE POSAVSKE</t>
  </si>
  <si>
    <t>MINISTARSTVO PRAVOSUĐA I UPRAVE ŽUPANIJE POSAVSKE - OPĆINSKO PRAVOBRANITELJSTVO ORAŠJE</t>
  </si>
  <si>
    <t>MINISTARSTVO PRAVOSUĐA I UPRAVE ŽUPANIJE POSAVSKE - OPĆINSKO PRAVOBRANITELJSTVO ODŽAK</t>
  </si>
  <si>
    <t>MINISTARSTVO GOSPODARSTVA, RADA I PROSTORNOG UREĐENJA ŽUPANIJE POSAVSKE</t>
  </si>
  <si>
    <t>MINISTARSTVO FINANCIJA ŽUPANIJE POSAVSKE</t>
  </si>
  <si>
    <t>MINISTARSTVO ZDRAVSTVA I SOCIJALNE POLITIKE ŽUPANIJE POSAVSKE</t>
  </si>
  <si>
    <t>MINISTARSTVO PROMETA, VEZA  I ZAŠTITE OKOLIŠA ŽUPANIJE POSAVSKE</t>
  </si>
  <si>
    <t>MINISTARSTVO POLJOPRIVREDE, VODOPRIVREDE I ŠUMARSTVA ŽUPANIJE POSAVSKE</t>
  </si>
  <si>
    <t>MINISTARSTVO PROSVJETE, ZNANOSTI, KULTURE I SPORTA ŽUPANIJE POSAVSKE</t>
  </si>
  <si>
    <t>MINISTARSTVO BRANITELJA ŽUPANIJE POSAVSKE</t>
  </si>
  <si>
    <t>ŽUPANIJSKA UPRAVA CIVILNE ZAŠTITE</t>
  </si>
  <si>
    <t>Županijska uprava civilne zaštite</t>
  </si>
  <si>
    <t>Ured za obnovu, stambeno zbrinjavanje i raseljene osobe Vlade Županije Posavske</t>
  </si>
  <si>
    <t>Agencija za privatizaciju u Županiji Posavskoj</t>
  </si>
  <si>
    <t>Ministarstvo pravosuđa i uprave ŽP - Općinsko pravobraniteljstvo Odžak</t>
  </si>
  <si>
    <t>Ministarstvo pravosuđa i uprave ŽP - Općinsko pravobraniteljstvo Orašje</t>
  </si>
  <si>
    <t>Ministarstvo pravosuđa i uprave Županije Posavske - Općinsko pravobraniteljstvo Orašje</t>
  </si>
  <si>
    <t>Ministarstvo pravosuđa i uprave Županije Posavske - Općinsko pravobraniteljstvo Odžak</t>
  </si>
  <si>
    <t>Ministarstvo pravosuđa i uprave Županije Posavske - Županijski Zavod za pružanje pravne pomoći</t>
  </si>
  <si>
    <t>Kantonalno tužiteljstvo Posavskog kantona Orašje</t>
  </si>
  <si>
    <t>Ministarstvo pravosuđa i uprave Županije Posavske - Općinski sud u Orašju</t>
  </si>
  <si>
    <t xml:space="preserve"> MINISTARSTVO PRAVOSUĐA I UPRAVE ŽUPANIJE POSAVSKE - OPĆINSKI SUD U ORAŠJU</t>
  </si>
  <si>
    <t>MINISTARSTVO PRAVOSUĐA I UPRAVE ŽUPANIJE POSAVSKE - ŽUPANIJSKI ZAVOD ZA PRUŽANJE PRAVNE POMOĆI</t>
  </si>
  <si>
    <t>MINISTARSTVO PROSVJETE, ZNANOSTI, KULTURE I SPORTA ŽUPANIJE POSAVSKE - OSNOVNA ŠKOLA ORAŠJE U ORAŠJU</t>
  </si>
  <si>
    <t>AGENCIJA ZA PRIVATIZACIJU U ŽUPANIJI POSAVSKOJ</t>
  </si>
  <si>
    <t>KANTONALNO TUŽITELJSTVO POSAVSKOG KANTONA ORAŠJE</t>
  </si>
  <si>
    <t>Ministarstvo prosvjete, znanosti, kulture i sporta ŽP - Osnovna škola Orašje u Orašju</t>
  </si>
  <si>
    <t>Ministarstvo pravosuđa i uprave ŽP - Općinski sud u Orašju</t>
  </si>
  <si>
    <t>Ministarstvo pravosuđa i uprave ŽP - Žup.Zavod za pružanje prav.pomoći</t>
  </si>
  <si>
    <t>Ministarstvo gospodarstva, rada i prostornog uređenja Žup.Posavske</t>
  </si>
  <si>
    <t>Ministarstvo poljoprivrede, vodoprivrede i šumarstva Žup.Posavske</t>
  </si>
  <si>
    <t>Ministarstvo prosvjete... - Osnovna škola Orašje u Orašju</t>
  </si>
  <si>
    <t xml:space="preserve"> Kapitalni grant za razvoj poduzetništva, obrta i zadruga</t>
  </si>
  <si>
    <t xml:space="preserve"> Kapitalni grant za uređenje poljoprivrednog zemljišta</t>
  </si>
  <si>
    <t>URED ZA RASELJENE</t>
  </si>
  <si>
    <t>Ured za raseljene</t>
  </si>
  <si>
    <t xml:space="preserve">   Grant od Federalnog zavoda za zapošljavanje - pripravnici</t>
  </si>
  <si>
    <t xml:space="preserve"> Kapitalni grant za vodoprivredu</t>
  </si>
  <si>
    <t>MINISTARSTVO PROSVJETE, ZNANOSTI, KULTURE I SPORTA ŽUPANIJE POSAVSKE - SREDNJA STRUKOVNA ŠKOLA ORAŠJE U ORAŠJU</t>
  </si>
  <si>
    <t>MINISTARSTVO PROSVJETE, ZNANOSTI, KULTURE I SPORTA ŽUPANIJE POSAVSKE - ŠKOLSKI CENTAR FRA MARTINA NEDIĆA U ORAŠJU</t>
  </si>
  <si>
    <t>MINISTARSTVO PROSVJETE, ZNANOSTI, KULTURE I SPORTA ŽUPANIJE POSAVSKE - SREDNJA ŠKOLA PERE ZEČEVIĆA U ODŽAKU</t>
  </si>
  <si>
    <t>MINISTARSTVO PROSVJETE, ZNANOSTI, KULTURE I SPORTA ŽUPANIJE POSAVSKE - OSNOVNA ŠKOLA VLADIMIRA NAZORA U ODŽAKU</t>
  </si>
  <si>
    <t>MINISTARSTVO PROSVJETE, ZNANOSTI, KULTURE I SPORTA ŽUPANIJE POSAVSKE - OSNOVNA ŠKOLA STJEPANA RADIĆA U BOKU</t>
  </si>
  <si>
    <t>MINISTARSTVO PROSVJETE, ZNANOSTI, KULTURE I SPORTA ŽUPANIJE POSAVSKE - OSNOVNA ŠKOLA RUĐERA BOŠKOVIĆA U DONJOJ MAHALI</t>
  </si>
  <si>
    <t>MINISTARSTVO PROSVJETE, ZNANOSTI, KULTURE I SPORTA ŽUPANIJE POSAVSKE - OSNOVNA ŠKOLA ANTUNA GUSTAVA MATOŠA U VIDOVICAMA</t>
  </si>
  <si>
    <t>MINISTARSTVO PROSVJETE, ZNANOSTI, KULTURE I SPORTA ŽUPANIJE POSAVSKE - OSNOVNA ŠKOLA BRAĆE RADIĆA U DOMALJEVCU</t>
  </si>
  <si>
    <t>Ministarstvo prosvjete, znanosti, kulture i sporta ŽP - Srednja škola Pere Zečevića u Odžaku</t>
  </si>
  <si>
    <t>Ministarstvo prosvjete, znanosti, kulture i sporta ŽP - Školski centar fra Martina Nedića u Orašju</t>
  </si>
  <si>
    <t>Ministarstvo prosvjete, znanosti, kulture i sporta ŽP - Srednja strukovna škola Orašje u Orašju</t>
  </si>
  <si>
    <t>Ministarstvo prosvjete, znanosti, kulture i sporta ŽP - Osnovna škola Vladimira Nazora u Odžaku</t>
  </si>
  <si>
    <t>Ministarstvo prosvjete, znanosti, kulture i sporta ŽP - Osn.škola Ruđera Boškovića u Donjoj Mahali</t>
  </si>
  <si>
    <t>Ministarstvo prosvjete, znanosti, kulture i sporta ŽP - Osnovna škola fra Ilije Starčevića u Tolisi</t>
  </si>
  <si>
    <t>Ministarstvo prosvjete, znanosti, kulture i sporta ŽP - Osn.škola Stjepana Radića u Boku</t>
  </si>
  <si>
    <t>Ministarstvo prosvj., znan., kult.i sporta ŽP - Osnovna škola Antuna Gustava Matoša u Vidovicama</t>
  </si>
  <si>
    <t>Ministarstvo prosvjete, znanosti, kulture i sporta ŽP - Osnovna škola Braće Radića u Domaljevcu</t>
  </si>
  <si>
    <t>MINISTARSTVO PROSVJETE, ZNANOSTI, KULTURE I SPORTA ŽUPANIJE POSAVSKE - OSNOVNA ŠKOLA FRA ILIJE STARČEVIĆA U TOLISI</t>
  </si>
  <si>
    <t>Ministarstvo prosvjete, znanosti, kulture i sporta ŽP - Osnovna škola Stjepana Radića u Boku</t>
  </si>
  <si>
    <t>Ministarstvo prosvjete... - Srednja škola Pere Zečevića u Odžaku</t>
  </si>
  <si>
    <t>Ministarstvo prosvjete... - Školski centar Fra Martina Nedića u Orašju</t>
  </si>
  <si>
    <t>Ministarstvo prosvjete... - Srednja strukovna škola Orašje u Orašju</t>
  </si>
  <si>
    <t>Ministarstvo prosvjete... - Osnovna škola Vladimira Nazora u Odžaku</t>
  </si>
  <si>
    <t>Ministarstvo prosvjete... - Osn.škola Ruđera Boškovića u Donjoj Mahali</t>
  </si>
  <si>
    <t>Ministarstvo prosvjete... - Osnovna škola Fra Ilije Starčevića u Tolisi</t>
  </si>
  <si>
    <t>Ministarstvo prosvjete... - Osnovna škola Stjepana Radića u Boku</t>
  </si>
  <si>
    <t>Ministarstvo prosvjete.. - Osnovna škola Antuna Gustava Matoša u Vidovicama</t>
  </si>
  <si>
    <t>Ministarstvo prosvjete... - Osnovna škola Braće Radića u Domaljevcu</t>
  </si>
  <si>
    <t>Funkcija</t>
  </si>
  <si>
    <t>0111</t>
  </si>
  <si>
    <t>13=11+12</t>
  </si>
  <si>
    <t>0133</t>
  </si>
  <si>
    <t>0310</t>
  </si>
  <si>
    <t>0360</t>
  </si>
  <si>
    <t>0330</t>
  </si>
  <si>
    <t>0490</t>
  </si>
  <si>
    <t>0112</t>
  </si>
  <si>
    <t>1090</t>
  </si>
  <si>
    <t>0421</t>
  </si>
  <si>
    <t>0980</t>
  </si>
  <si>
    <t>0941</t>
  </si>
  <si>
    <t>0820</t>
  </si>
  <si>
    <t>0810</t>
  </si>
  <si>
    <t>0912
0921</t>
  </si>
  <si>
    <t>0830</t>
  </si>
  <si>
    <t>0840</t>
  </si>
  <si>
    <t>0922</t>
  </si>
  <si>
    <t>0912</t>
  </si>
  <si>
    <t>0320</t>
  </si>
  <si>
    <t xml:space="preserve"> Povjerenstva po Zakonu o drž.službenicima i namještenic.</t>
  </si>
  <si>
    <t xml:space="preserve"> o/č Povjerenstva po Zakonu o drž.službenicima i namještenic.</t>
  </si>
  <si>
    <t>EA6001</t>
  </si>
  <si>
    <t>JA6009</t>
  </si>
  <si>
    <t>JA6010</t>
  </si>
  <si>
    <t xml:space="preserve"> o/č Grant za pomoć pri stambenom zbrinjavanju mladih obitelji 
      i socijalnih kategorija</t>
  </si>
  <si>
    <t xml:space="preserve"> Grant za pomoć pri stambenom zbrinjavanju mladih obitelji 
 i socijalnih kategorija</t>
  </si>
  <si>
    <t>Izvršenje Proračuna 01.01.-30.09.20.</t>
  </si>
  <si>
    <t>PRORAČUN za 2021.</t>
  </si>
  <si>
    <t>PRORAČUN za 2020. (NN ŽP 15/19, 6/20, ??720)</t>
  </si>
  <si>
    <t>Povećanje/smanjenje Proračuna za 2020.g.</t>
  </si>
  <si>
    <t>INDEKS 13/9</t>
  </si>
  <si>
    <t>EA6002</t>
  </si>
  <si>
    <t xml:space="preserve"> Ugovorene i dr.pos.usluge - troškovi izvršenja mjere pritvora</t>
  </si>
  <si>
    <t xml:space="preserve"> Izdaci za inozemne kamate-Koreja</t>
  </si>
  <si>
    <t xml:space="preserve"> Izdaci za inozemne kamate-Austrija</t>
  </si>
  <si>
    <t>Vanjske otplate-Koreja</t>
  </si>
  <si>
    <t>Vanjske otplate-Austrija</t>
  </si>
  <si>
    <t xml:space="preserve"> o/č Ugovorene i dr.pos.usluge - troškovi izvršenja mjere pritvora</t>
  </si>
  <si>
    <t xml:space="preserve"> Vanjske otplate - Koreja</t>
  </si>
  <si>
    <t xml:space="preserve"> Vanjske otplate - Austrija</t>
  </si>
  <si>
    <t xml:space="preserve"> Ugovorene i dr. posebne usluge-sufinanc.prijema vježbenika</t>
  </si>
  <si>
    <t xml:space="preserve"> o/č Ugov.i dr.poseb.usluge-sufinanciranje prijema vježbenika</t>
  </si>
  <si>
    <t xml:space="preserve">   Porez na dobit od poljoprivrednih djelatnosti</t>
  </si>
  <si>
    <t xml:space="preserve">    o/t Prihodi od neizravnih poreza na ime financ.autocesta u FBiH</t>
  </si>
  <si>
    <t xml:space="preserve">    o/t Prihodi od neizravnih poreza koji pripadaju Direkciji cesta</t>
  </si>
  <si>
    <t xml:space="preserve">   Prihodi od iznajmljivanja vozila</t>
  </si>
  <si>
    <t xml:space="preserve">      19010001 Minist.poljopr., vodoprivrede i šumarstva</t>
  </si>
  <si>
    <t xml:space="preserve">   Prihodi po osnovi premije i provizije za izdano jamstvo</t>
  </si>
  <si>
    <t xml:space="preserve">   Prihodi po osnovi obračunate provizije za izdano jamstvo</t>
  </si>
  <si>
    <t xml:space="preserve">      20030001 Osnovna škola Orašje u Orašju - Ured za Hrvate izvan RH</t>
  </si>
  <si>
    <t xml:space="preserve">      99999999 Riznica ŽP - Potpora iz sredstava MMF-a</t>
  </si>
  <si>
    <t xml:space="preserve">      11010001 Vlada ŽP - Brčko Distrikt</t>
  </si>
  <si>
    <t xml:space="preserve">      20010001 Ministarstvo prosvjete, znanosti, kulture i sporta - Ured za 
      obnovu i stambeno zbrinjavanje</t>
  </si>
  <si>
    <t xml:space="preserve">      20020003 ŠC Fra M.Nedića u Orašju- Ured za Hrvate uzvan RH</t>
  </si>
  <si>
    <t xml:space="preserve">      20030005 OŠ S.Radića u Boku - Ured za Hrvate uzvan RH</t>
  </si>
  <si>
    <t xml:space="preserve">      20010001 Ministarstvo prosvjete, znanosti, kulture i sporta - Poboljšanje 
      kvalitete prakt.nastave u srednjem obrazovanju</t>
  </si>
  <si>
    <t xml:space="preserve">     20020003 Školski centar fra Martina Nedića u Orašju - elem.nepogoda</t>
  </si>
  <si>
    <t xml:space="preserve">   Kapitalni grantovi od općina</t>
  </si>
  <si>
    <t xml:space="preserve">      12010001 Zajednička služba Vlade Županije Posavske</t>
  </si>
  <si>
    <t xml:space="preserve">      13010001 Ministarstvo unutarnjih poslova ŽP</t>
  </si>
  <si>
    <t xml:space="preserve">      19010001 Ministarstvo poljoprivrede, vodoprivrede i šumarstva ŽP</t>
  </si>
  <si>
    <t>BA6021</t>
  </si>
  <si>
    <t xml:space="preserve">   Primljeni tekući grantovi od Države</t>
  </si>
  <si>
    <t xml:space="preserve">      99999999 Riznica ŽP - "Sredstva za saniranje ekonomskih šteta"</t>
  </si>
  <si>
    <t xml:space="preserve"> Grant za udruge roditelja djece s posebnim potrebama</t>
  </si>
  <si>
    <t xml:space="preserve"> o/č Grant za udruge roditelja djece s posebnim potrebama</t>
  </si>
  <si>
    <t xml:space="preserve">   9. IZDACI ZA NABAVKU FINANCIJSKE IMOVINE I OTPLATE DUGOVA</t>
  </si>
  <si>
    <t xml:space="preserve">      18010001 Ministarstvo prometa, veza i zaštite okoliša ŽP - Federalno 
      ministarstvo izbjeglih i raseljenih osoba FBiH</t>
  </si>
  <si>
    <t>54 (55)</t>
  </si>
  <si>
    <t>HA6005</t>
  </si>
  <si>
    <t>BA6019</t>
  </si>
  <si>
    <t>Blaž Župarić, v.r.</t>
  </si>
  <si>
    <t>Povećanje/smanjenje Proračuna za 2021.g.</t>
  </si>
  <si>
    <t>Povećanje/ smanjenje Proračuna za 2021.</t>
  </si>
  <si>
    <t>Federacija Bosne i Hercegovine</t>
  </si>
  <si>
    <t xml:space="preserve">Broj: </t>
  </si>
  <si>
    <t>Predsjednik Skupštine</t>
  </si>
  <si>
    <t>Domaljevac,___________ 2021.g.</t>
  </si>
  <si>
    <t xml:space="preserve">      20030005 OŠ V.Nazora u Odžaku - Ured za Hrvate izvan RH</t>
  </si>
  <si>
    <t xml:space="preserve">      20030002 OŠ Vladimira Nazora u Odžaku - Fed.ministarstvo raseljenih 
      osoba i izbjeglica</t>
  </si>
  <si>
    <t xml:space="preserve">      20010001 Ministarstvo prosvjete, znanosti, kulture i sporta - Federalno
      ministarstvo prostornog uređenja</t>
  </si>
  <si>
    <t xml:space="preserve">      20030007 OŠ Braće Radića u Domaljevcu -Ured za Hrvate izvan RH</t>
  </si>
  <si>
    <t xml:space="preserve">      20010001 Ministarstvo prosvjete, znanosti, kulture i sporta - Ured za 
      obnovu i stambeno zbrinjavanje RH</t>
  </si>
  <si>
    <t>26 (29)</t>
  </si>
  <si>
    <t>12 (30)</t>
  </si>
  <si>
    <t xml:space="preserve">      14020003 Općinski sud u Orašju</t>
  </si>
  <si>
    <t xml:space="preserve">   20030003 OŠ Ruđera Boškovića u Donjoj Mahali</t>
  </si>
  <si>
    <t xml:space="preserve">   20030003 OŠ Orašje u Orašju</t>
  </si>
  <si>
    <t xml:space="preserve">   20030003 OŠ Vladimira Nazora u Odžaku</t>
  </si>
  <si>
    <t>218 (219)</t>
  </si>
  <si>
    <t>9 (10)</t>
  </si>
  <si>
    <t>13 (14)</t>
  </si>
  <si>
    <t xml:space="preserve">   Prihodi od privatizacije</t>
  </si>
  <si>
    <t xml:space="preserve">   Prihodi od privatizacije poduzeća</t>
  </si>
  <si>
    <t>50 (53)</t>
  </si>
  <si>
    <t>47 (50)</t>
  </si>
  <si>
    <t>42 (46)</t>
  </si>
  <si>
    <t>106 (109)</t>
  </si>
  <si>
    <t>30 (30)</t>
  </si>
  <si>
    <t>39 (42)</t>
  </si>
  <si>
    <t>43 (43)</t>
  </si>
  <si>
    <t>19 (21)</t>
  </si>
  <si>
    <t>30 (31)</t>
  </si>
  <si>
    <t>945 (989)</t>
  </si>
  <si>
    <r>
      <t xml:space="preserve">    o/t Prihodi od neizravnih poreza na ime financ.autocesta u FBiH </t>
    </r>
    <r>
      <rPr>
        <b/>
        <i/>
        <sz val="10"/>
        <color indexed="8"/>
        <rFont val="Arial"/>
        <family val="2"/>
        <charset val="238"/>
      </rPr>
      <t>(razgr.)</t>
    </r>
  </si>
  <si>
    <r>
      <t xml:space="preserve">    o/t Prihodi od neizravnih poreza koji pripadaju Direkciji cesta </t>
    </r>
    <r>
      <rPr>
        <b/>
        <i/>
        <sz val="10"/>
        <color indexed="8"/>
        <rFont val="Arial"/>
        <family val="2"/>
        <charset val="238"/>
      </rPr>
      <t>(razgr.)</t>
    </r>
  </si>
  <si>
    <r>
      <t xml:space="preserve">      19010001 Minist.poljopr., vodoprivrede i šumarstva </t>
    </r>
    <r>
      <rPr>
        <b/>
        <i/>
        <sz val="10"/>
        <color indexed="8"/>
        <rFont val="Arial"/>
        <family val="2"/>
        <charset val="238"/>
      </rPr>
      <t>(razgr.)</t>
    </r>
  </si>
  <si>
    <r>
      <t xml:space="preserve">      19010001 Minist.poljopr., vodoprivrede i šumarstva </t>
    </r>
    <r>
      <rPr>
        <b/>
        <i/>
        <sz val="10"/>
        <color indexed="8"/>
        <rFont val="Arial"/>
        <family val="2"/>
        <charset val="238"/>
      </rPr>
      <t>(razgraničenja)</t>
    </r>
  </si>
  <si>
    <r>
      <t xml:space="preserve">      99999999 Riznica </t>
    </r>
    <r>
      <rPr>
        <b/>
        <i/>
        <sz val="10"/>
        <color indexed="8"/>
        <rFont val="Arial"/>
        <family val="2"/>
        <charset val="238"/>
      </rPr>
      <t>(razgraničenja)</t>
    </r>
  </si>
  <si>
    <r>
      <t xml:space="preserve">      23010001 Uprava za civilnu zaštitu </t>
    </r>
    <r>
      <rPr>
        <b/>
        <i/>
        <sz val="10"/>
        <color indexed="8"/>
        <rFont val="Arial"/>
        <family val="2"/>
        <charset val="238"/>
      </rPr>
      <t>(razgr.)</t>
    </r>
  </si>
  <si>
    <r>
      <t xml:space="preserve">      27010001 Kant.tužiteljstvo - IPA </t>
    </r>
    <r>
      <rPr>
        <b/>
        <i/>
        <sz val="10"/>
        <color indexed="8"/>
        <rFont val="Arial"/>
        <family val="2"/>
        <charset val="238"/>
      </rPr>
      <t>(razgr.)</t>
    </r>
  </si>
  <si>
    <r>
      <t xml:space="preserve">      99999999 Riznica ŽP - Potpora iz sredstava MMF-a </t>
    </r>
    <r>
      <rPr>
        <b/>
        <i/>
        <sz val="10"/>
        <color indexed="8"/>
        <rFont val="Arial"/>
        <family val="2"/>
        <charset val="238"/>
      </rPr>
      <t>(razgraničenja)</t>
    </r>
  </si>
  <si>
    <r>
      <t xml:space="preserve">      99999999 Riznica ŽP - "Sredstva za saniranje ek.šteta" </t>
    </r>
    <r>
      <rPr>
        <b/>
        <i/>
        <sz val="10"/>
        <color indexed="8"/>
        <rFont val="Arial"/>
        <family val="2"/>
        <charset val="238"/>
      </rPr>
      <t>(razgran.)</t>
    </r>
  </si>
  <si>
    <t xml:space="preserve">                                                                                                                                      </t>
  </si>
  <si>
    <t xml:space="preserve"> Doprinosi za beneficirani radni staž 1996-1998</t>
  </si>
  <si>
    <t>NACRT</t>
  </si>
  <si>
    <r>
      <t>PRORAČUN ŽUPANIJE POSAVSKE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za 2022. godinu</t>
    </r>
  </si>
  <si>
    <t>Domaljevac, prosinac 2021. godine</t>
  </si>
  <si>
    <t>Izdaci za nabavku stalnih sredstava za 2022.g.(po pror.korisn.i izv.financiranja)</t>
  </si>
  <si>
    <t>Funkc.klasifik.rashoda i izdataka Proračuna ŽP za 2022. godinu</t>
  </si>
  <si>
    <t>PRORAČUN ŽUPANIJE POSAVSKE ZA 2022. GODINU (po korisnicima i ekonomskim klasifikacijama izdataka)</t>
  </si>
  <si>
    <t>Proračun ŽP za 2022. godinu (po korisn.i ek.klasif.izdataka)</t>
  </si>
  <si>
    <t>PRORAČUN</t>
  </si>
  <si>
    <t xml:space="preserve"> Županije Posavske za 2022. godinu</t>
  </si>
  <si>
    <t xml:space="preserve">     Proračun Županije Posavske za 2022.godinu sastoji se od: </t>
  </si>
  <si>
    <t>PRORAČUN za 
2022.godinu</t>
  </si>
  <si>
    <t>"Prihodi, primici i financiranje" i "Rashodi i izdaci" po grupama utvrđuju se u Računu prihoda i rashoda za 2022.godinu kako slijedi:</t>
  </si>
  <si>
    <t>PRORAČUN 
za 2022.</t>
  </si>
  <si>
    <t>PRORAČUN za 2022.</t>
  </si>
  <si>
    <t>FUNKCIJSKA KLASIFIKACIJA RASHODA I IZDATAKA PRORAČUNA ŽUPANIJE POSAVSKE ZA 2022.GODINU</t>
  </si>
  <si>
    <t>IZDACI ZA NABAVKU STALNIH SREDSTAVA ŽUPANIJE POSAVSKE ZA 2022. GODINU (po proračunskim korisnicima i izvorima financiranja)</t>
  </si>
  <si>
    <t>PRORAČUN za 2022.godinu</t>
  </si>
  <si>
    <t xml:space="preserve">     Proračun Županije Posavske za 2022. godinu stupa na snagu narednog dana od dana objave u "Narodnim novinama Županije Posavske", a primjenjivat će se za fiskalnu 2022.godinu.</t>
  </si>
  <si>
    <t xml:space="preserve"> Naknade troškova zaposlenih - volonteri (14) (20)</t>
  </si>
  <si>
    <t xml:space="preserve"> Ugovorene i dr. posebne usluge-volonteri (14) (20)</t>
  </si>
  <si>
    <t xml:space="preserve"> Grant za financiranje visokog obrazovanja    
</t>
  </si>
  <si>
    <t xml:space="preserve"> Grant za informiranje</t>
  </si>
  <si>
    <t xml:space="preserve"> Grant za financiranje vjerskih zajednica</t>
  </si>
  <si>
    <t xml:space="preserve"> Grant za sport</t>
  </si>
  <si>
    <t xml:space="preserve"> Grant za kulturu</t>
  </si>
  <si>
    <r>
      <rPr>
        <i/>
        <sz val="10"/>
        <rFont val="Arial"/>
        <family val="2"/>
        <charset val="238"/>
      </rPr>
      <t xml:space="preserve">o/č Grant za financiranje visokog obrazovanja    </t>
    </r>
    <r>
      <rPr>
        <sz val="10"/>
        <rFont val="Arial"/>
        <family val="2"/>
        <charset val="238"/>
      </rPr>
      <t xml:space="preserve">
</t>
    </r>
  </si>
  <si>
    <t xml:space="preserve"> o/č Grant za informiranje</t>
  </si>
  <si>
    <t xml:space="preserve"> o/č Grant za financiranje vjerskih zajednica</t>
  </si>
  <si>
    <t xml:space="preserve"> o/č Grant za sport</t>
  </si>
  <si>
    <t xml:space="preserve"> o/č Grant za kulturu</t>
  </si>
  <si>
    <t xml:space="preserve"> Grant političkim strankama</t>
  </si>
  <si>
    <t xml:space="preserve"> Grant neprofitnim organizacijama i udrugama građana</t>
  </si>
  <si>
    <t xml:space="preserve"> o/č Grant političkim strankama</t>
  </si>
  <si>
    <t xml:space="preserve"> o/č Grant neprofitnim organizacijama i udrugama građana</t>
  </si>
  <si>
    <t xml:space="preserve"> Grant nižim razinama vlasti</t>
  </si>
  <si>
    <t xml:space="preserve"> o/č Grant nižim razinama vlasti</t>
  </si>
  <si>
    <t xml:space="preserve"> Grant za zdravstvene potrebe</t>
  </si>
  <si>
    <t xml:space="preserve"> Grant za socijalne potrebe</t>
  </si>
  <si>
    <t xml:space="preserve"> o/č Grant za zdravstvene potrebe</t>
  </si>
  <si>
    <t xml:space="preserve"> o/č Grant za socijalne potrebe</t>
  </si>
  <si>
    <t xml:space="preserve"> Grant za zdravstvene institucije i centre za soc.rad</t>
  </si>
  <si>
    <t xml:space="preserve"> o/č Grant za zdravstvene institucije i centre za soc.rad</t>
  </si>
  <si>
    <t xml:space="preserve"> o/č Grant za sufinanciranje prijevoza učenika</t>
  </si>
  <si>
    <t xml:space="preserve"> Grant za sufinanciranje prijevoza učenika</t>
  </si>
  <si>
    <t xml:space="preserve"> Grant za šumarstvo</t>
  </si>
  <si>
    <t xml:space="preserve"> Grant za poljoprivredu</t>
  </si>
  <si>
    <t xml:space="preserve"> Grant za vodoprivredu</t>
  </si>
  <si>
    <t xml:space="preserve"> o/č Grant za šumarstvo</t>
  </si>
  <si>
    <t xml:space="preserve"> o/č Grant za poljoprivredu</t>
  </si>
  <si>
    <t xml:space="preserve"> o/č Grant za vodoprivredu</t>
  </si>
  <si>
    <t xml:space="preserve"> Grant za branitelje i stradalnike Domovinskog rata</t>
  </si>
  <si>
    <t xml:space="preserve"> o/č Grant za branitelje i stradalnike dom. rata</t>
  </si>
  <si>
    <t>5 (6)</t>
  </si>
  <si>
    <t>ŽUPANIJSKI ARHIV</t>
  </si>
  <si>
    <t>0130</t>
  </si>
  <si>
    <t>PRORAČUN za 2021. (NN ŽP 16/20 i 16/21)</t>
  </si>
  <si>
    <t>PRORAČUN za 
2021.godinu (NN ŽP 16/20 i 16/21)</t>
  </si>
  <si>
    <t>45.</t>
  </si>
  <si>
    <t>Ministarstvo pravosuđa i uprave Županije Posavske - Županijski arhiv</t>
  </si>
  <si>
    <t>PRORAČUN za 2021.(NN ŽP 16/20 i 16/21) / Poveć./smanjenje Proračuna za 2021.</t>
  </si>
  <si>
    <t>11 (12)</t>
  </si>
  <si>
    <t>221 (222)</t>
  </si>
  <si>
    <t>14 (15)</t>
  </si>
  <si>
    <t xml:space="preserve"> Nabavka opreme - vatrogasna postrojba</t>
  </si>
  <si>
    <t xml:space="preserve">      20010001 Ministarstvo prosvjete, znanosti, kulture i sporta - 
      Podrška programima razvijanja funkcioniranja znanja i vještina djece</t>
  </si>
  <si>
    <t xml:space="preserve">   Naknada za zajedničke profesionalne vatrogasne jedinice iz 
   funkcionalne premije osiguranja motornih vozila</t>
  </si>
  <si>
    <t>46 (49)</t>
  </si>
  <si>
    <t>54 (57)</t>
  </si>
  <si>
    <t>105 (108)</t>
  </si>
  <si>
    <t>31 (32)</t>
  </si>
  <si>
    <t>43 (44)</t>
  </si>
  <si>
    <t>18 (20)</t>
  </si>
  <si>
    <t xml:space="preserve"> Nabavka mat.i sitn.invent.-obroci za učenike I-V razreda
 osnovnih škola</t>
  </si>
  <si>
    <t>978 (1009)</t>
  </si>
  <si>
    <t>977 (1008)</t>
  </si>
  <si>
    <t xml:space="preserve"> o/č Ugovorene i druge posebne usluge-volonterski rad (14) (20)</t>
  </si>
  <si>
    <t>Na temelju članka 26. stavak (1.) točka f) Ustava Županije Posavske ("Narodne novine Županije Posavske", broj: 1/96, 3/96, 7/99, 3/00, 5/00 i 7/04) i članka 37.(3.) Zakona o proračunima u Federaciji Bosne i Hercegovine ("Službene novine Federacije BiH", broj: 102/13, 9/14, 13/14, 8/15, 91/15, 102/15, 104/16, 5/18, 11/19 i 99/19), Skupština Županije Posavske na __________________________ sjednici održanoj dana ______________2021. godine usvaja</t>
  </si>
  <si>
    <t>Ministarstvo pravosuđa i uprave ŽP - Županijski arhiv</t>
  </si>
  <si>
    <t xml:space="preserve"> Ukupno za potrošačke jedinice:</t>
  </si>
  <si>
    <t xml:space="preserve"> Kapitalni grant</t>
  </si>
  <si>
    <t xml:space="preserve"> o/č Nabavka materijala i sitnog inventara</t>
  </si>
  <si>
    <t xml:space="preserve"> o/č Nabavka mat.i sitn.invent.-obroci za učenike I-V razreda
 osnovnih škola</t>
  </si>
  <si>
    <t xml:space="preserve"> o/č Naknade troškova zaposlenih</t>
  </si>
  <si>
    <t xml:space="preserve"> o/č Naknade troškova zaposlenih - volonteri (14) (20)</t>
  </si>
  <si>
    <t>DA6001</t>
  </si>
  <si>
    <t>KA6014</t>
  </si>
  <si>
    <t>NA8001</t>
  </si>
</sst>
</file>

<file path=xl/styles.xml><?xml version="1.0" encoding="utf-8"?>
<styleSheet xmlns="http://schemas.openxmlformats.org/spreadsheetml/2006/main">
  <numFmts count="6">
    <numFmt numFmtId="6" formatCode="#,##0\ &quot;kn&quot;;[Red]\-#,##0\ &quot;kn&quot;"/>
    <numFmt numFmtId="43" formatCode="_-* #,##0.00\ _k_n_-;\-* #,##0.00\ _k_n_-;_-* &quot;-&quot;??\ _k_n_-;_-@_-"/>
    <numFmt numFmtId="164" formatCode="#,##0\ &quot;KM&quot;;\-#,##0\ &quot;KM&quot;"/>
    <numFmt numFmtId="165" formatCode="_-* #,##0.00_-;\-* #,##0.00_-;_-* &quot;-&quot;??_-;_-@_-"/>
    <numFmt numFmtId="166" formatCode="_-* #,##0_-;\-* #,##0_-;_-* &quot;-&quot;??_-;_-@_-"/>
    <numFmt numFmtId="167" formatCode="000"/>
  </numFmts>
  <fonts count="50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i/>
      <sz val="8"/>
      <name val="Arial"/>
      <family val="2"/>
    </font>
    <font>
      <i/>
      <sz val="11"/>
      <name val="Arial"/>
      <family val="2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9C0006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165" fontId="11" fillId="0" borderId="0" applyFont="0" applyFill="0" applyBorder="0" applyAlignment="0" applyProtection="0"/>
    <xf numFmtId="0" fontId="25" fillId="5" borderId="0" applyNumberFormat="0" applyBorder="0" applyAlignment="0" applyProtection="0"/>
    <xf numFmtId="0" fontId="2" fillId="0" borderId="0"/>
    <xf numFmtId="0" fontId="10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931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 vertical="center" textRotation="90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49" fontId="3" fillId="0" borderId="3" xfId="3" applyNumberFormat="1" applyFont="1" applyBorder="1" applyAlignment="1">
      <alignment horizontal="center"/>
    </xf>
    <xf numFmtId="49" fontId="3" fillId="0" borderId="4" xfId="3" applyNumberFormat="1" applyFont="1" applyBorder="1" applyAlignment="1">
      <alignment horizontal="center"/>
    </xf>
    <xf numFmtId="0" fontId="3" fillId="0" borderId="4" xfId="3" applyFont="1" applyBorder="1"/>
    <xf numFmtId="0" fontId="2" fillId="0" borderId="0" xfId="3"/>
    <xf numFmtId="0" fontId="2" fillId="0" borderId="3" xfId="3" applyBorder="1"/>
    <xf numFmtId="0" fontId="2" fillId="0" borderId="4" xfId="3" applyBorder="1"/>
    <xf numFmtId="0" fontId="3" fillId="0" borderId="3" xfId="3" applyFont="1" applyBorder="1"/>
    <xf numFmtId="0" fontId="4" fillId="0" borderId="4" xfId="3" applyFont="1" applyBorder="1"/>
    <xf numFmtId="0" fontId="2" fillId="0" borderId="4" xfId="3" applyFill="1" applyBorder="1"/>
    <xf numFmtId="3" fontId="3" fillId="0" borderId="4" xfId="3" applyNumberFormat="1" applyFont="1" applyBorder="1"/>
    <xf numFmtId="0" fontId="2" fillId="0" borderId="5" xfId="3" applyBorder="1"/>
    <xf numFmtId="0" fontId="2" fillId="0" borderId="6" xfId="3" applyBorder="1"/>
    <xf numFmtId="0" fontId="2" fillId="0" borderId="0" xfId="3" applyAlignment="1">
      <alignment horizontal="center"/>
    </xf>
    <xf numFmtId="3" fontId="3" fillId="0" borderId="4" xfId="3" applyNumberFormat="1" applyFont="1" applyBorder="1" applyAlignment="1">
      <alignment horizontal="right"/>
    </xf>
    <xf numFmtId="0" fontId="2" fillId="0" borderId="4" xfId="3" applyFont="1" applyBorder="1"/>
    <xf numFmtId="0" fontId="3" fillId="0" borderId="4" xfId="3" applyFont="1" applyBorder="1" applyAlignment="1">
      <alignment horizontal="left"/>
    </xf>
    <xf numFmtId="0" fontId="3" fillId="0" borderId="7" xfId="3" applyFont="1" applyBorder="1"/>
    <xf numFmtId="0" fontId="0" fillId="0" borderId="4" xfId="0" applyBorder="1"/>
    <xf numFmtId="0" fontId="2" fillId="0" borderId="8" xfId="3" applyBorder="1"/>
    <xf numFmtId="0" fontId="3" fillId="0" borderId="8" xfId="3" applyFont="1" applyBorder="1"/>
    <xf numFmtId="0" fontId="3" fillId="0" borderId="4" xfId="0" applyFont="1" applyBorder="1"/>
    <xf numFmtId="0" fontId="2" fillId="0" borderId="9" xfId="3" applyBorder="1"/>
    <xf numFmtId="0" fontId="2" fillId="0" borderId="5" xfId="3" applyBorder="1" applyAlignment="1">
      <alignment horizontal="center"/>
    </xf>
    <xf numFmtId="3" fontId="2" fillId="0" borderId="4" xfId="3" applyNumberFormat="1" applyBorder="1"/>
    <xf numFmtId="3" fontId="4" fillId="0" borderId="4" xfId="3" applyNumberFormat="1" applyFont="1" applyBorder="1"/>
    <xf numFmtId="3" fontId="2" fillId="0" borderId="6" xfId="3" applyNumberFormat="1" applyBorder="1"/>
    <xf numFmtId="0" fontId="2" fillId="0" borderId="0" xfId="3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3" applyFont="1" applyBorder="1" applyAlignment="1">
      <alignment horizontal="left"/>
    </xf>
    <xf numFmtId="0" fontId="0" fillId="0" borderId="10" xfId="0" applyBorder="1"/>
    <xf numFmtId="3" fontId="4" fillId="0" borderId="4" xfId="3" applyNumberFormat="1" applyFont="1" applyBorder="1" applyAlignment="1">
      <alignment horizontal="right"/>
    </xf>
    <xf numFmtId="0" fontId="4" fillId="0" borderId="4" xfId="0" applyFont="1" applyBorder="1"/>
    <xf numFmtId="0" fontId="3" fillId="0" borderId="0" xfId="0" applyFont="1"/>
    <xf numFmtId="0" fontId="3" fillId="0" borderId="12" xfId="3" applyFont="1" applyBorder="1"/>
    <xf numFmtId="0" fontId="2" fillId="0" borderId="13" xfId="3" applyBorder="1" applyAlignment="1">
      <alignment horizontal="center"/>
    </xf>
    <xf numFmtId="0" fontId="2" fillId="0" borderId="14" xfId="3" applyBorder="1"/>
    <xf numFmtId="0" fontId="2" fillId="0" borderId="0" xfId="3" applyFont="1"/>
    <xf numFmtId="3" fontId="2" fillId="0" borderId="4" xfId="3" applyNumberFormat="1" applyFill="1" applyBorder="1"/>
    <xf numFmtId="0" fontId="0" fillId="0" borderId="0" xfId="0" applyBorder="1" applyAlignment="1"/>
    <xf numFmtId="0" fontId="7" fillId="0" borderId="0" xfId="0" applyFont="1" applyBorder="1" applyAlignment="1"/>
    <xf numFmtId="3" fontId="2" fillId="0" borderId="15" xfId="3" applyNumberFormat="1" applyBorder="1"/>
    <xf numFmtId="2" fontId="3" fillId="0" borderId="0" xfId="3" applyNumberFormat="1" applyFont="1"/>
    <xf numFmtId="3" fontId="2" fillId="0" borderId="0" xfId="3" applyNumberFormat="1"/>
    <xf numFmtId="3" fontId="3" fillId="0" borderId="0" xfId="3" applyNumberFormat="1" applyFont="1"/>
    <xf numFmtId="3" fontId="2" fillId="0" borderId="0" xfId="3" applyNumberFormat="1" applyFont="1"/>
    <xf numFmtId="0" fontId="4" fillId="0" borderId="0" xfId="3" applyFont="1"/>
    <xf numFmtId="0" fontId="4" fillId="0" borderId="3" xfId="3" applyFont="1" applyBorder="1"/>
    <xf numFmtId="0" fontId="4" fillId="0" borderId="0" xfId="0" applyFont="1"/>
    <xf numFmtId="3" fontId="0" fillId="0" borderId="0" xfId="0" applyNumberFormat="1"/>
    <xf numFmtId="0" fontId="10" fillId="0" borderId="0" xfId="3" applyFont="1"/>
    <xf numFmtId="0" fontId="2" fillId="0" borderId="0" xfId="3" applyFont="1" applyFill="1"/>
    <xf numFmtId="0" fontId="2" fillId="0" borderId="0" xfId="3" applyFill="1"/>
    <xf numFmtId="0" fontId="3" fillId="0" borderId="0" xfId="3" applyFont="1" applyFill="1"/>
    <xf numFmtId="0" fontId="9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3" fontId="3" fillId="0" borderId="4" xfId="3" applyNumberFormat="1" applyFont="1" applyFill="1" applyBorder="1" applyAlignment="1">
      <alignment horizontal="right"/>
    </xf>
    <xf numFmtId="49" fontId="3" fillId="0" borderId="3" xfId="3" applyNumberFormat="1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/>
    </xf>
    <xf numFmtId="3" fontId="3" fillId="0" borderId="0" xfId="3" applyNumberFormat="1" applyFont="1" applyAlignment="1">
      <alignment horizontal="center"/>
    </xf>
    <xf numFmtId="0" fontId="5" fillId="0" borderId="0" xfId="3" applyFont="1" applyBorder="1" applyAlignment="1">
      <alignment horizontal="left"/>
    </xf>
    <xf numFmtId="4" fontId="2" fillId="0" borderId="0" xfId="3" applyNumberFormat="1"/>
    <xf numFmtId="4" fontId="2" fillId="0" borderId="19" xfId="3" applyNumberFormat="1" applyBorder="1"/>
    <xf numFmtId="4" fontId="2" fillId="0" borderId="21" xfId="3" applyNumberFormat="1" applyBorder="1"/>
    <xf numFmtId="0" fontId="3" fillId="0" borderId="10" xfId="3" applyFont="1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10" fillId="0" borderId="4" xfId="3" applyNumberFormat="1" applyFont="1" applyFill="1" applyBorder="1"/>
    <xf numFmtId="3" fontId="3" fillId="0" borderId="6" xfId="3" applyNumberFormat="1" applyFont="1" applyBorder="1"/>
    <xf numFmtId="4" fontId="4" fillId="0" borderId="20" xfId="3" applyNumberFormat="1" applyFont="1" applyBorder="1" applyAlignment="1">
      <alignment horizontal="right"/>
    </xf>
    <xf numFmtId="3" fontId="4" fillId="0" borderId="0" xfId="0" applyNumberFormat="1" applyFont="1"/>
    <xf numFmtId="164" fontId="9" fillId="0" borderId="14" xfId="3" applyNumberFormat="1" applyFont="1" applyBorder="1" applyAlignment="1"/>
    <xf numFmtId="0" fontId="2" fillId="0" borderId="3" xfId="3" applyBorder="1" applyAlignment="1">
      <alignment vertical="center"/>
    </xf>
    <xf numFmtId="0" fontId="2" fillId="0" borderId="4" xfId="3" applyBorder="1" applyAlignment="1">
      <alignment vertical="center"/>
    </xf>
    <xf numFmtId="0" fontId="2" fillId="0" borderId="8" xfId="3" applyBorder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3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0" xfId="3" applyFont="1" applyAlignment="1">
      <alignment vertical="center"/>
    </xf>
    <xf numFmtId="3" fontId="4" fillId="0" borderId="0" xfId="3" applyNumberFormat="1" applyFont="1" applyAlignment="1">
      <alignment vertical="center"/>
    </xf>
    <xf numFmtId="0" fontId="8" fillId="0" borderId="0" xfId="0" applyFont="1"/>
    <xf numFmtId="0" fontId="12" fillId="0" borderId="0" xfId="0" applyFont="1"/>
    <xf numFmtId="0" fontId="3" fillId="0" borderId="0" xfId="0" applyFont="1" applyFill="1" applyBorder="1" applyAlignment="1"/>
    <xf numFmtId="3" fontId="4" fillId="0" borderId="4" xfId="0" applyNumberFormat="1" applyFont="1" applyFill="1" applyBorder="1" applyAlignment="1">
      <alignment horizontal="right" vertical="center"/>
    </xf>
    <xf numFmtId="3" fontId="0" fillId="0" borderId="4" xfId="0" applyNumberFormat="1" applyBorder="1"/>
    <xf numFmtId="3" fontId="3" fillId="0" borderId="4" xfId="0" applyNumberFormat="1" applyFont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3" fillId="2" borderId="4" xfId="0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0" xfId="0" applyNumberFormat="1" applyFont="1" applyFill="1"/>
    <xf numFmtId="4" fontId="3" fillId="0" borderId="0" xfId="3" applyNumberFormat="1" applyFont="1" applyAlignment="1">
      <alignment horizontal="center"/>
    </xf>
    <xf numFmtId="0" fontId="0" fillId="0" borderId="14" xfId="0" applyBorder="1"/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Fill="1" applyBorder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Continuous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/>
    <xf numFmtId="4" fontId="4" fillId="0" borderId="4" xfId="0" applyNumberFormat="1" applyFont="1" applyBorder="1"/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10" fillId="0" borderId="4" xfId="3" applyFont="1" applyBorder="1"/>
    <xf numFmtId="3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right"/>
    </xf>
    <xf numFmtId="10" fontId="0" fillId="0" borderId="0" xfId="0" applyNumberFormat="1"/>
    <xf numFmtId="3" fontId="10" fillId="0" borderId="4" xfId="4" applyNumberFormat="1" applyFill="1" applyBorder="1"/>
    <xf numFmtId="3" fontId="3" fillId="0" borderId="4" xfId="4" applyNumberFormat="1" applyFont="1" applyFill="1" applyBorder="1"/>
    <xf numFmtId="3" fontId="10" fillId="0" borderId="10" xfId="4" applyNumberFormat="1" applyFill="1" applyBorder="1"/>
    <xf numFmtId="3" fontId="3" fillId="0" borderId="10" xfId="4" applyNumberFormat="1" applyFont="1" applyFill="1" applyBorder="1"/>
    <xf numFmtId="3" fontId="0" fillId="0" borderId="0" xfId="0" applyNumberFormat="1" applyFill="1"/>
    <xf numFmtId="3" fontId="4" fillId="0" borderId="4" xfId="3" applyNumberFormat="1" applyFont="1" applyFill="1" applyBorder="1" applyAlignment="1">
      <alignment horizontal="right"/>
    </xf>
    <xf numFmtId="0" fontId="24" fillId="0" borderId="4" xfId="3" applyFont="1" applyBorder="1"/>
    <xf numFmtId="3" fontId="24" fillId="0" borderId="4" xfId="3" applyNumberFormat="1" applyFont="1" applyBorder="1"/>
    <xf numFmtId="4" fontId="24" fillId="0" borderId="20" xfId="3" applyNumberFormat="1" applyFont="1" applyBorder="1" applyAlignment="1">
      <alignment horizontal="right"/>
    </xf>
    <xf numFmtId="0" fontId="24" fillId="0" borderId="4" xfId="3" applyFont="1" applyFill="1" applyBorder="1"/>
    <xf numFmtId="0" fontId="2" fillId="0" borderId="4" xfId="0" applyFont="1" applyBorder="1"/>
    <xf numFmtId="0" fontId="4" fillId="0" borderId="3" xfId="3" applyFont="1" applyBorder="1" applyAlignment="1">
      <alignment horizontal="center" vertical="top"/>
    </xf>
    <xf numFmtId="0" fontId="2" fillId="0" borderId="3" xfId="3" applyBorder="1" applyAlignment="1">
      <alignment horizontal="center" vertical="top"/>
    </xf>
    <xf numFmtId="0" fontId="24" fillId="0" borderId="3" xfId="3" applyFont="1" applyBorder="1" applyAlignment="1">
      <alignment horizontal="right" vertical="top"/>
    </xf>
    <xf numFmtId="0" fontId="2" fillId="0" borderId="3" xfId="3" applyFill="1" applyBorder="1" applyAlignment="1">
      <alignment horizontal="center" vertical="top"/>
    </xf>
    <xf numFmtId="0" fontId="24" fillId="0" borderId="3" xfId="3" applyFont="1" applyFill="1" applyBorder="1" applyAlignment="1">
      <alignment horizontal="right" vertical="top"/>
    </xf>
    <xf numFmtId="0" fontId="2" fillId="0" borderId="3" xfId="3" applyFont="1" applyBorder="1"/>
    <xf numFmtId="0" fontId="3" fillId="0" borderId="14" xfId="3" applyFont="1" applyBorder="1" applyAlignment="1">
      <alignment horizontal="right"/>
    </xf>
    <xf numFmtId="0" fontId="0" fillId="0" borderId="0" xfId="0" applyFill="1" applyAlignment="1">
      <alignment wrapText="1"/>
    </xf>
    <xf numFmtId="3" fontId="12" fillId="0" borderId="0" xfId="0" applyNumberFormat="1" applyFont="1" applyFill="1"/>
    <xf numFmtId="3" fontId="8" fillId="0" borderId="0" xfId="0" applyNumberFormat="1" applyFont="1" applyFill="1"/>
    <xf numFmtId="4" fontId="8" fillId="0" borderId="0" xfId="0" applyNumberFormat="1" applyFont="1" applyFill="1"/>
    <xf numFmtId="0" fontId="3" fillId="0" borderId="0" xfId="0" applyFont="1" applyFill="1" applyBorder="1"/>
    <xf numFmtId="3" fontId="0" fillId="0" borderId="0" xfId="0" applyNumberFormat="1" applyFill="1" applyBorder="1"/>
    <xf numFmtId="0" fontId="8" fillId="0" borderId="4" xfId="0" applyFont="1" applyBorder="1" applyAlignment="1">
      <alignment horizontal="center"/>
    </xf>
    <xf numFmtId="4" fontId="8" fillId="0" borderId="20" xfId="3" applyNumberFormat="1" applyFont="1" applyBorder="1" applyAlignment="1">
      <alignment horizontal="right"/>
    </xf>
    <xf numFmtId="3" fontId="0" fillId="0" borderId="4" xfId="0" applyNumberFormat="1" applyFill="1" applyBorder="1"/>
    <xf numFmtId="3" fontId="2" fillId="0" borderId="10" xfId="3" applyNumberFormat="1" applyBorder="1"/>
    <xf numFmtId="3" fontId="3" fillId="3" borderId="10" xfId="3" applyNumberFormat="1" applyFont="1" applyFill="1" applyBorder="1"/>
    <xf numFmtId="3" fontId="4" fillId="0" borderId="10" xfId="3" applyNumberFormat="1" applyFont="1" applyBorder="1"/>
    <xf numFmtId="3" fontId="2" fillId="0" borderId="10" xfId="3" applyNumberFormat="1" applyFill="1" applyBorder="1"/>
    <xf numFmtId="3" fontId="3" fillId="0" borderId="10" xfId="3" applyNumberFormat="1" applyFont="1" applyFill="1" applyBorder="1" applyAlignment="1">
      <alignment horizontal="right"/>
    </xf>
    <xf numFmtId="3" fontId="3" fillId="0" borderId="10" xfId="3" applyNumberFormat="1" applyFont="1" applyBorder="1"/>
    <xf numFmtId="3" fontId="4" fillId="0" borderId="10" xfId="3" applyNumberFormat="1" applyFont="1" applyFill="1" applyBorder="1"/>
    <xf numFmtId="3" fontId="3" fillId="0" borderId="4" xfId="3" applyNumberFormat="1" applyFont="1" applyBorder="1" applyAlignment="1">
      <alignment horizontal="right"/>
    </xf>
    <xf numFmtId="3" fontId="2" fillId="0" borderId="4" xfId="3" applyNumberFormat="1" applyBorder="1"/>
    <xf numFmtId="3" fontId="2" fillId="0" borderId="4" xfId="3" applyNumberFormat="1" applyFill="1" applyBorder="1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0" fontId="2" fillId="0" borderId="0" xfId="3"/>
    <xf numFmtId="0" fontId="2" fillId="0" borderId="3" xfId="3" applyBorder="1"/>
    <xf numFmtId="0" fontId="2" fillId="0" borderId="4" xfId="3" applyBorder="1"/>
    <xf numFmtId="0" fontId="3" fillId="0" borderId="3" xfId="3" applyFont="1" applyBorder="1"/>
    <xf numFmtId="3" fontId="3" fillId="0" borderId="4" xfId="3" applyNumberFormat="1" applyFont="1" applyBorder="1"/>
    <xf numFmtId="0" fontId="2" fillId="0" borderId="0" xfId="3" applyAlignment="1">
      <alignment horizontal="center"/>
    </xf>
    <xf numFmtId="3" fontId="4" fillId="0" borderId="4" xfId="3" applyNumberFormat="1" applyFont="1" applyBorder="1"/>
    <xf numFmtId="0" fontId="2" fillId="0" borderId="0" xfId="3" applyFont="1" applyAlignment="1">
      <alignment horizontal="left"/>
    </xf>
    <xf numFmtId="3" fontId="3" fillId="3" borderId="4" xfId="3" applyNumberFormat="1" applyFont="1" applyFill="1" applyBorder="1"/>
    <xf numFmtId="3" fontId="3" fillId="0" borderId="4" xfId="3" applyNumberFormat="1" applyFont="1" applyFill="1" applyBorder="1"/>
    <xf numFmtId="3" fontId="4" fillId="0" borderId="4" xfId="3" applyNumberFormat="1" applyFont="1" applyFill="1" applyBorder="1"/>
    <xf numFmtId="3" fontId="3" fillId="0" borderId="4" xfId="3" applyNumberFormat="1" applyFont="1" applyFill="1" applyBorder="1" applyAlignment="1">
      <alignment horizontal="right"/>
    </xf>
    <xf numFmtId="0" fontId="3" fillId="0" borderId="10" xfId="3" applyFont="1" applyBorder="1" applyAlignment="1">
      <alignment horizontal="center"/>
    </xf>
    <xf numFmtId="3" fontId="24" fillId="0" borderId="4" xfId="3" applyNumberFormat="1" applyFont="1" applyBorder="1"/>
    <xf numFmtId="0" fontId="2" fillId="0" borderId="14" xfId="3" applyBorder="1" applyAlignment="1">
      <alignment horizontal="center"/>
    </xf>
    <xf numFmtId="0" fontId="26" fillId="0" borderId="4" xfId="3" applyFont="1" applyBorder="1" applyAlignment="1">
      <alignment horizontal="center"/>
    </xf>
    <xf numFmtId="0" fontId="28" fillId="0" borderId="4" xfId="3" applyFont="1" applyBorder="1" applyAlignment="1">
      <alignment horizontal="center"/>
    </xf>
    <xf numFmtId="0" fontId="28" fillId="0" borderId="6" xfId="3" applyFont="1" applyBorder="1" applyAlignment="1">
      <alignment horizontal="center"/>
    </xf>
    <xf numFmtId="0" fontId="28" fillId="0" borderId="0" xfId="3" applyFont="1" applyAlignment="1">
      <alignment horizontal="center"/>
    </xf>
    <xf numFmtId="0" fontId="28" fillId="0" borderId="4" xfId="3" applyFont="1" applyFill="1" applyBorder="1" applyAlignment="1">
      <alignment horizontal="center"/>
    </xf>
    <xf numFmtId="0" fontId="28" fillId="0" borderId="4" xfId="3" applyFont="1" applyBorder="1" applyAlignment="1">
      <alignment horizontal="center" vertical="center"/>
    </xf>
    <xf numFmtId="0" fontId="28" fillId="0" borderId="12" xfId="3" applyFont="1" applyFill="1" applyBorder="1" applyAlignment="1">
      <alignment horizontal="center"/>
    </xf>
    <xf numFmtId="0" fontId="28" fillId="0" borderId="11" xfId="3" applyFont="1" applyBorder="1" applyAlignment="1">
      <alignment horizontal="center"/>
    </xf>
    <xf numFmtId="0" fontId="28" fillId="0" borderId="10" xfId="3" applyFont="1" applyBorder="1" applyAlignment="1">
      <alignment horizontal="center"/>
    </xf>
    <xf numFmtId="0" fontId="28" fillId="0" borderId="12" xfId="3" applyFont="1" applyBorder="1" applyAlignment="1">
      <alignment horizontal="center"/>
    </xf>
    <xf numFmtId="0" fontId="26" fillId="0" borderId="16" xfId="3" applyFont="1" applyBorder="1" applyAlignment="1">
      <alignment horizontal="center"/>
    </xf>
    <xf numFmtId="0" fontId="26" fillId="0" borderId="11" xfId="3" applyFont="1" applyBorder="1" applyAlignment="1">
      <alignment horizontal="center"/>
    </xf>
    <xf numFmtId="0" fontId="17" fillId="0" borderId="10" xfId="3" applyFont="1" applyBorder="1" applyAlignment="1">
      <alignment horizontal="center"/>
    </xf>
    <xf numFmtId="0" fontId="16" fillId="0" borderId="10" xfId="3" applyFont="1" applyBorder="1" applyAlignment="1">
      <alignment horizontal="center" vertical="top"/>
    </xf>
    <xf numFmtId="0" fontId="29" fillId="0" borderId="10" xfId="3" applyFont="1" applyBorder="1" applyAlignment="1">
      <alignment horizontal="center" vertical="top"/>
    </xf>
    <xf numFmtId="0" fontId="16" fillId="0" borderId="10" xfId="3" applyFont="1" applyFill="1" applyBorder="1" applyAlignment="1">
      <alignment horizontal="center" vertical="top"/>
    </xf>
    <xf numFmtId="0" fontId="29" fillId="0" borderId="10" xfId="3" applyFont="1" applyFill="1" applyBorder="1" applyAlignment="1">
      <alignment horizontal="center" vertical="top"/>
    </xf>
    <xf numFmtId="0" fontId="16" fillId="0" borderId="10" xfId="3" applyFont="1" applyBorder="1" applyAlignment="1">
      <alignment horizontal="center"/>
    </xf>
    <xf numFmtId="0" fontId="16" fillId="0" borderId="35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0" fontId="16" fillId="0" borderId="4" xfId="3" applyFont="1" applyBorder="1" applyAlignment="1">
      <alignment horizontal="center"/>
    </xf>
    <xf numFmtId="0" fontId="16" fillId="0" borderId="6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4" xfId="3" applyFont="1" applyFill="1" applyBorder="1" applyAlignment="1">
      <alignment horizontal="center"/>
    </xf>
    <xf numFmtId="0" fontId="16" fillId="0" borderId="4" xfId="3" applyFont="1" applyBorder="1" applyAlignment="1">
      <alignment horizontal="center" vertical="center"/>
    </xf>
    <xf numFmtId="0" fontId="16" fillId="0" borderId="12" xfId="3" applyFont="1" applyFill="1" applyBorder="1" applyAlignment="1">
      <alignment horizontal="center"/>
    </xf>
    <xf numFmtId="0" fontId="16" fillId="0" borderId="11" xfId="3" applyFont="1" applyBorder="1" applyAlignment="1">
      <alignment horizontal="center"/>
    </xf>
    <xf numFmtId="0" fontId="16" fillId="0" borderId="12" xfId="3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6" fillId="0" borderId="16" xfId="0" applyNumberFormat="1" applyFont="1" applyBorder="1" applyAlignment="1">
      <alignment horizontal="center"/>
    </xf>
    <xf numFmtId="0" fontId="17" fillId="0" borderId="16" xfId="3" applyFont="1" applyBorder="1" applyAlignment="1">
      <alignment horizontal="center"/>
    </xf>
    <xf numFmtId="0" fontId="17" fillId="0" borderId="11" xfId="3" applyFont="1" applyBorder="1" applyAlignment="1">
      <alignment horizontal="center"/>
    </xf>
    <xf numFmtId="164" fontId="20" fillId="0" borderId="14" xfId="0" applyNumberFormat="1" applyFont="1" applyBorder="1" applyAlignment="1"/>
    <xf numFmtId="4" fontId="27" fillId="0" borderId="20" xfId="3" applyNumberFormat="1" applyFont="1" applyBorder="1" applyAlignment="1">
      <alignment horizontal="center"/>
    </xf>
    <xf numFmtId="4" fontId="27" fillId="0" borderId="20" xfId="3" applyNumberFormat="1" applyFont="1" applyFill="1" applyBorder="1"/>
    <xf numFmtId="4" fontId="20" fillId="0" borderId="20" xfId="3" applyNumberFormat="1" applyFont="1" applyFill="1" applyBorder="1"/>
    <xf numFmtId="4" fontId="20" fillId="0" borderId="20" xfId="3" applyNumberFormat="1" applyFont="1" applyBorder="1"/>
    <xf numFmtId="4" fontId="20" fillId="0" borderId="21" xfId="3" applyNumberFormat="1" applyFont="1" applyBorder="1"/>
    <xf numFmtId="4" fontId="20" fillId="0" borderId="0" xfId="3" applyNumberFormat="1" applyFont="1"/>
    <xf numFmtId="4" fontId="27" fillId="0" borderId="21" xfId="3" applyNumberFormat="1" applyFont="1" applyBorder="1"/>
    <xf numFmtId="4" fontId="20" fillId="0" borderId="15" xfId="3" applyNumberFormat="1" applyFont="1" applyBorder="1"/>
    <xf numFmtId="4" fontId="27" fillId="0" borderId="20" xfId="3" applyNumberFormat="1" applyFont="1" applyBorder="1"/>
    <xf numFmtId="49" fontId="28" fillId="0" borderId="4" xfId="0" applyNumberFormat="1" applyFont="1" applyBorder="1" applyAlignment="1">
      <alignment horizontal="center"/>
    </xf>
    <xf numFmtId="49" fontId="28" fillId="0" borderId="12" xfId="0" applyNumberFormat="1" applyFont="1" applyBorder="1" applyAlignment="1">
      <alignment horizontal="center"/>
    </xf>
    <xf numFmtId="0" fontId="1" fillId="0" borderId="4" xfId="3" applyFont="1" applyBorder="1"/>
    <xf numFmtId="3" fontId="1" fillId="0" borderId="10" xfId="12" applyNumberFormat="1" applyBorder="1"/>
    <xf numFmtId="3" fontId="3" fillId="3" borderId="10" xfId="12" applyNumberFormat="1" applyFont="1" applyFill="1" applyBorder="1"/>
    <xf numFmtId="3" fontId="4" fillId="0" borderId="10" xfId="12" applyNumberFormat="1" applyFont="1" applyBorder="1"/>
    <xf numFmtId="3" fontId="3" fillId="0" borderId="10" xfId="12" applyNumberFormat="1" applyFont="1" applyBorder="1"/>
    <xf numFmtId="3" fontId="4" fillId="0" borderId="10" xfId="12" applyNumberFormat="1" applyFont="1" applyFill="1" applyBorder="1"/>
    <xf numFmtId="3" fontId="1" fillId="0" borderId="10" xfId="12" applyNumberFormat="1" applyFill="1" applyBorder="1"/>
    <xf numFmtId="3" fontId="3" fillId="0" borderId="10" xfId="12" applyNumberFormat="1" applyFont="1" applyFill="1" applyBorder="1"/>
    <xf numFmtId="3" fontId="8" fillId="0" borderId="4" xfId="12" applyNumberFormat="1" applyFont="1" applyFill="1" applyBorder="1"/>
    <xf numFmtId="3" fontId="1" fillId="0" borderId="4" xfId="12" applyNumberFormat="1" applyFont="1" applyBorder="1"/>
    <xf numFmtId="3" fontId="4" fillId="7" borderId="4" xfId="12" applyNumberFormat="1" applyFont="1" applyFill="1" applyBorder="1"/>
    <xf numFmtId="3" fontId="1" fillId="0" borderId="4" xfId="12" applyNumberFormat="1" applyFont="1" applyFill="1" applyBorder="1"/>
    <xf numFmtId="3" fontId="1" fillId="0" borderId="4" xfId="12" applyNumberFormat="1" applyBorder="1"/>
    <xf numFmtId="3" fontId="3" fillId="0" borderId="4" xfId="12" applyNumberFormat="1" applyFont="1" applyBorder="1"/>
    <xf numFmtId="3" fontId="4" fillId="0" borderId="4" xfId="12" applyNumberFormat="1" applyFont="1" applyBorder="1"/>
    <xf numFmtId="3" fontId="3" fillId="3" borderId="4" xfId="12" applyNumberFormat="1" applyFont="1" applyFill="1" applyBorder="1"/>
    <xf numFmtId="3" fontId="1" fillId="0" borderId="4" xfId="12" applyNumberFormat="1" applyFill="1" applyBorder="1"/>
    <xf numFmtId="3" fontId="3" fillId="0" borderId="4" xfId="12" applyNumberFormat="1" applyFont="1" applyFill="1" applyBorder="1"/>
    <xf numFmtId="3" fontId="4" fillId="0" borderId="4" xfId="12" applyNumberFormat="1" applyFont="1" applyFill="1" applyBorder="1"/>
    <xf numFmtId="164" fontId="17" fillId="0" borderId="14" xfId="3" applyNumberFormat="1" applyFont="1" applyBorder="1" applyAlignment="1"/>
    <xf numFmtId="164" fontId="3" fillId="0" borderId="0" xfId="3" applyNumberFormat="1" applyFont="1"/>
    <xf numFmtId="0" fontId="5" fillId="0" borderId="0" xfId="3" applyFont="1" applyBorder="1" applyAlignment="1">
      <alignment horizontal="left"/>
    </xf>
    <xf numFmtId="0" fontId="3" fillId="0" borderId="12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textRotation="90" wrapText="1"/>
    </xf>
    <xf numFmtId="0" fontId="2" fillId="0" borderId="0" xfId="3" applyFill="1" applyAlignment="1">
      <alignment vertical="center"/>
    </xf>
    <xf numFmtId="0" fontId="9" fillId="6" borderId="41" xfId="3" applyFont="1" applyFill="1" applyBorder="1" applyAlignment="1">
      <alignment horizontal="left" vertical="center"/>
    </xf>
    <xf numFmtId="3" fontId="14" fillId="6" borderId="41" xfId="3" applyNumberFormat="1" applyFont="1" applyFill="1" applyBorder="1" applyAlignment="1">
      <alignment vertical="center"/>
    </xf>
    <xf numFmtId="0" fontId="14" fillId="6" borderId="41" xfId="3" applyFont="1" applyFill="1" applyBorder="1" applyAlignment="1">
      <alignment vertical="center"/>
    </xf>
    <xf numFmtId="4" fontId="9" fillId="6" borderId="42" xfId="3" applyNumberFormat="1" applyFont="1" applyFill="1" applyBorder="1" applyAlignment="1">
      <alignment horizontal="left" vertical="center"/>
    </xf>
    <xf numFmtId="4" fontId="14" fillId="6" borderId="42" xfId="3" applyNumberFormat="1" applyFont="1" applyFill="1" applyBorder="1" applyAlignment="1">
      <alignment vertical="center"/>
    </xf>
    <xf numFmtId="3" fontId="4" fillId="0" borderId="10" xfId="12" applyNumberFormat="1" applyFont="1" applyFill="1" applyBorder="1" applyAlignment="1">
      <alignment vertical="center"/>
    </xf>
    <xf numFmtId="0" fontId="12" fillId="6" borderId="12" xfId="3" applyFont="1" applyFill="1" applyBorder="1" applyAlignment="1">
      <alignment horizontal="center" vertical="center" wrapText="1"/>
    </xf>
    <xf numFmtId="0" fontId="12" fillId="6" borderId="4" xfId="3" applyFont="1" applyFill="1" applyBorder="1" applyAlignment="1">
      <alignment horizontal="center"/>
    </xf>
    <xf numFmtId="3" fontId="12" fillId="6" borderId="4" xfId="4" applyNumberFormat="1" applyFont="1" applyFill="1" applyBorder="1"/>
    <xf numFmtId="3" fontId="6" fillId="6" borderId="4" xfId="4" applyNumberFormat="1" applyFont="1" applyFill="1" applyBorder="1"/>
    <xf numFmtId="3" fontId="6" fillId="6" borderId="4" xfId="3" applyNumberFormat="1" applyFont="1" applyFill="1" applyBorder="1"/>
    <xf numFmtId="3" fontId="12" fillId="6" borderId="4" xfId="3" applyNumberFormat="1" applyFont="1" applyFill="1" applyBorder="1"/>
    <xf numFmtId="3" fontId="6" fillId="6" borderId="4" xfId="12" applyNumberFormat="1" applyFont="1" applyFill="1" applyBorder="1"/>
    <xf numFmtId="3" fontId="12" fillId="6" borderId="4" xfId="3" applyNumberFormat="1" applyFont="1" applyFill="1" applyBorder="1" applyAlignment="1">
      <alignment horizontal="right"/>
    </xf>
    <xf numFmtId="3" fontId="6" fillId="6" borderId="6" xfId="3" applyNumberFormat="1" applyFont="1" applyFill="1" applyBorder="1"/>
    <xf numFmtId="0" fontId="6" fillId="0" borderId="0" xfId="3" applyFont="1"/>
    <xf numFmtId="3" fontId="12" fillId="6" borderId="4" xfId="3" applyNumberFormat="1" applyFont="1" applyFill="1" applyBorder="1" applyAlignment="1">
      <alignment horizontal="center"/>
    </xf>
    <xf numFmtId="3" fontId="6" fillId="0" borderId="0" xfId="3" applyNumberFormat="1" applyFont="1"/>
    <xf numFmtId="0" fontId="6" fillId="6" borderId="6" xfId="3" applyFont="1" applyFill="1" applyBorder="1"/>
    <xf numFmtId="3" fontId="12" fillId="6" borderId="6" xfId="3" applyNumberFormat="1" applyFont="1" applyFill="1" applyBorder="1"/>
    <xf numFmtId="3" fontId="6" fillId="0" borderId="15" xfId="3" applyNumberFormat="1" applyFont="1" applyBorder="1"/>
    <xf numFmtId="0" fontId="6" fillId="6" borderId="4" xfId="3" applyFont="1" applyFill="1" applyBorder="1"/>
    <xf numFmtId="3" fontId="12" fillId="6" borderId="4" xfId="12" applyNumberFormat="1" applyFont="1" applyFill="1" applyBorder="1"/>
    <xf numFmtId="0" fontId="12" fillId="6" borderId="10" xfId="3" applyFont="1" applyFill="1" applyBorder="1" applyAlignment="1">
      <alignment horizontal="center"/>
    </xf>
    <xf numFmtId="3" fontId="12" fillId="6" borderId="10" xfId="3" applyNumberFormat="1" applyFont="1" applyFill="1" applyBorder="1" applyAlignment="1">
      <alignment horizontal="right"/>
    </xf>
    <xf numFmtId="3" fontId="6" fillId="6" borderId="10" xfId="3" applyNumberFormat="1" applyFont="1" applyFill="1" applyBorder="1"/>
    <xf numFmtId="3" fontId="12" fillId="6" borderId="10" xfId="3" applyNumberFormat="1" applyFont="1" applyFill="1" applyBorder="1"/>
    <xf numFmtId="3" fontId="12" fillId="6" borderId="10" xfId="4" applyNumberFormat="1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6" borderId="12" xfId="3" applyFont="1" applyFill="1" applyBorder="1" applyAlignment="1">
      <alignment horizontal="center" vertical="center" wrapText="1"/>
    </xf>
    <xf numFmtId="3" fontId="6" fillId="6" borderId="4" xfId="3" applyNumberFormat="1" applyFont="1" applyFill="1" applyBorder="1" applyAlignment="1">
      <alignment horizontal="right"/>
    </xf>
    <xf numFmtId="3" fontId="30" fillId="6" borderId="4" xfId="3" applyNumberFormat="1" applyFont="1" applyFill="1" applyBorder="1"/>
    <xf numFmtId="0" fontId="3" fillId="6" borderId="3" xfId="3" applyFont="1" applyFill="1" applyBorder="1" applyAlignment="1">
      <alignment horizontal="center"/>
    </xf>
    <xf numFmtId="0" fontId="3" fillId="6" borderId="10" xfId="3" applyFont="1" applyFill="1" applyBorder="1" applyAlignment="1">
      <alignment horizontal="center"/>
    </xf>
    <xf numFmtId="0" fontId="3" fillId="6" borderId="4" xfId="3" applyFont="1" applyFill="1" applyBorder="1" applyAlignment="1">
      <alignment horizontal="left"/>
    </xf>
    <xf numFmtId="3" fontId="3" fillId="6" borderId="4" xfId="3" applyNumberFormat="1" applyFont="1" applyFill="1" applyBorder="1" applyAlignment="1">
      <alignment horizontal="right"/>
    </xf>
    <xf numFmtId="4" fontId="3" fillId="6" borderId="20" xfId="3" applyNumberFormat="1" applyFont="1" applyFill="1" applyBorder="1" applyAlignment="1">
      <alignment horizontal="right"/>
    </xf>
    <xf numFmtId="0" fontId="3" fillId="6" borderId="3" xfId="3" applyFont="1" applyFill="1" applyBorder="1" applyAlignment="1">
      <alignment horizontal="center" vertical="top"/>
    </xf>
    <xf numFmtId="0" fontId="17" fillId="6" borderId="10" xfId="3" applyFont="1" applyFill="1" applyBorder="1" applyAlignment="1">
      <alignment horizontal="center" vertical="top"/>
    </xf>
    <xf numFmtId="0" fontId="3" fillId="6" borderId="4" xfId="3" applyFont="1" applyFill="1" applyBorder="1"/>
    <xf numFmtId="3" fontId="3" fillId="6" borderId="4" xfId="3" applyNumberFormat="1" applyFont="1" applyFill="1" applyBorder="1"/>
    <xf numFmtId="4" fontId="8" fillId="6" borderId="20" xfId="3" applyNumberFormat="1" applyFont="1" applyFill="1" applyBorder="1" applyAlignment="1">
      <alignment horizontal="right"/>
    </xf>
    <xf numFmtId="0" fontId="21" fillId="2" borderId="2" xfId="0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/>
    <xf numFmtId="3" fontId="1" fillId="0" borderId="4" xfId="0" applyNumberFormat="1" applyFont="1" applyFill="1" applyBorder="1" applyAlignment="1"/>
    <xf numFmtId="3" fontId="1" fillId="0" borderId="4" xfId="0" applyNumberFormat="1" applyFont="1" applyFill="1" applyBorder="1" applyAlignment="1">
      <alignment horizontal="right" vertical="center"/>
    </xf>
    <xf numFmtId="3" fontId="1" fillId="0" borderId="22" xfId="0" applyNumberFormat="1" applyFont="1" applyFill="1" applyBorder="1" applyAlignment="1">
      <alignment horizontal="right" vertical="center"/>
    </xf>
    <xf numFmtId="0" fontId="20" fillId="0" borderId="0" xfId="0" applyFont="1"/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/>
    <xf numFmtId="0" fontId="27" fillId="6" borderId="4" xfId="0" applyFont="1" applyFill="1" applyBorder="1" applyAlignment="1"/>
    <xf numFmtId="3" fontId="27" fillId="6" borderId="4" xfId="0" applyNumberFormat="1" applyFont="1" applyFill="1" applyBorder="1" applyAlignment="1"/>
    <xf numFmtId="2" fontId="27" fillId="6" borderId="4" xfId="0" applyNumberFormat="1" applyFont="1" applyFill="1" applyBorder="1" applyAlignment="1"/>
    <xf numFmtId="0" fontId="20" fillId="0" borderId="4" xfId="0" applyFont="1" applyFill="1" applyBorder="1" applyAlignment="1"/>
    <xf numFmtId="0" fontId="33" fillId="0" borderId="4" xfId="0" applyFont="1" applyFill="1" applyBorder="1" applyAlignment="1">
      <alignment horizontal="center"/>
    </xf>
    <xf numFmtId="3" fontId="20" fillId="0" borderId="4" xfId="0" applyNumberFormat="1" applyFont="1" applyFill="1" applyBorder="1" applyAlignment="1"/>
    <xf numFmtId="2" fontId="20" fillId="0" borderId="4" xfId="0" applyNumberFormat="1" applyFont="1" applyFill="1" applyBorder="1" applyAlignment="1">
      <alignment horizontal="right"/>
    </xf>
    <xf numFmtId="0" fontId="20" fillId="0" borderId="4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right" vertical="center"/>
    </xf>
    <xf numFmtId="2" fontId="20" fillId="0" borderId="4" xfId="0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/>
    <xf numFmtId="0" fontId="34" fillId="4" borderId="4" xfId="0" applyFont="1" applyFill="1" applyBorder="1" applyAlignment="1">
      <alignment horizontal="center"/>
    </xf>
    <xf numFmtId="3" fontId="27" fillId="4" borderId="4" xfId="0" applyNumberFormat="1" applyFont="1" applyFill="1" applyBorder="1" applyAlignment="1"/>
    <xf numFmtId="2" fontId="27" fillId="4" borderId="4" xfId="0" applyNumberFormat="1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Fill="1" applyBorder="1" applyAlignment="1"/>
    <xf numFmtId="0" fontId="27" fillId="0" borderId="0" xfId="0" applyFont="1" applyBorder="1" applyAlignment="1"/>
    <xf numFmtId="0" fontId="20" fillId="0" borderId="22" xfId="0" applyFont="1" applyFill="1" applyBorder="1" applyAlignment="1">
      <alignment horizontal="left" vertical="center"/>
    </xf>
    <xf numFmtId="0" fontId="33" fillId="0" borderId="22" xfId="0" applyFont="1" applyFill="1" applyBorder="1" applyAlignment="1">
      <alignment horizontal="center" vertical="center"/>
    </xf>
    <xf numFmtId="3" fontId="20" fillId="0" borderId="22" xfId="0" applyNumberFormat="1" applyFont="1" applyFill="1" applyBorder="1" applyAlignment="1">
      <alignment horizontal="right" vertical="center"/>
    </xf>
    <xf numFmtId="2" fontId="20" fillId="0" borderId="22" xfId="0" applyNumberFormat="1" applyFont="1" applyFill="1" applyBorder="1" applyAlignment="1">
      <alignment horizontal="right" vertical="center"/>
    </xf>
    <xf numFmtId="0" fontId="27" fillId="4" borderId="22" xfId="0" applyFont="1" applyFill="1" applyBorder="1" applyAlignment="1">
      <alignment horizontal="left" vertical="center"/>
    </xf>
    <xf numFmtId="0" fontId="34" fillId="4" borderId="22" xfId="0" applyFont="1" applyFill="1" applyBorder="1" applyAlignment="1">
      <alignment horizontal="center" vertical="center"/>
    </xf>
    <xf numFmtId="3" fontId="27" fillId="4" borderId="22" xfId="0" applyNumberFormat="1" applyFont="1" applyFill="1" applyBorder="1" applyAlignment="1"/>
    <xf numFmtId="2" fontId="27" fillId="4" borderId="22" xfId="0" applyNumberFormat="1" applyFont="1" applyFill="1" applyBorder="1" applyAlignment="1">
      <alignment horizontal="right" vertical="center"/>
    </xf>
    <xf numFmtId="0" fontId="27" fillId="4" borderId="23" xfId="0" applyFont="1" applyFill="1" applyBorder="1" applyAlignment="1"/>
    <xf numFmtId="0" fontId="34" fillId="4" borderId="23" xfId="0" applyFont="1" applyFill="1" applyBorder="1" applyAlignment="1">
      <alignment horizontal="center"/>
    </xf>
    <xf numFmtId="3" fontId="27" fillId="4" borderId="23" xfId="0" applyNumberFormat="1" applyFont="1" applyFill="1" applyBorder="1" applyAlignment="1"/>
    <xf numFmtId="2" fontId="27" fillId="4" borderId="23" xfId="0" applyNumberFormat="1" applyFont="1" applyFill="1" applyBorder="1" applyAlignment="1">
      <alignment horizontal="right" vertical="center"/>
    </xf>
    <xf numFmtId="3" fontId="27" fillId="4" borderId="22" xfId="0" applyNumberFormat="1" applyFont="1" applyFill="1" applyBorder="1" applyAlignment="1">
      <alignment vertical="center"/>
    </xf>
    <xf numFmtId="0" fontId="27" fillId="4" borderId="4" xfId="0" applyFont="1" applyFill="1" applyBorder="1" applyAlignment="1">
      <alignment wrapText="1"/>
    </xf>
    <xf numFmtId="0" fontId="34" fillId="4" borderId="4" xfId="0" applyFont="1" applyFill="1" applyBorder="1" applyAlignment="1">
      <alignment horizontal="center" wrapText="1"/>
    </xf>
    <xf numFmtId="3" fontId="27" fillId="4" borderId="4" xfId="0" applyNumberFormat="1" applyFont="1" applyFill="1" applyBorder="1" applyAlignment="1">
      <alignment vertical="center"/>
    </xf>
    <xf numFmtId="0" fontId="27" fillId="0" borderId="24" xfId="0" applyFont="1" applyFill="1" applyBorder="1" applyAlignment="1"/>
    <xf numFmtId="0" fontId="34" fillId="0" borderId="24" xfId="0" applyFont="1" applyFill="1" applyBorder="1" applyAlignment="1">
      <alignment horizontal="center"/>
    </xf>
    <xf numFmtId="4" fontId="20" fillId="0" borderId="24" xfId="0" applyNumberFormat="1" applyFont="1" applyFill="1" applyBorder="1" applyAlignment="1"/>
    <xf numFmtId="2" fontId="20" fillId="0" borderId="24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 applyAlignment="1"/>
    <xf numFmtId="0" fontId="8" fillId="6" borderId="4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/>
    <xf numFmtId="3" fontId="8" fillId="4" borderId="4" xfId="0" applyNumberFormat="1" applyFont="1" applyFill="1" applyBorder="1" applyAlignment="1"/>
    <xf numFmtId="3" fontId="8" fillId="4" borderId="22" xfId="0" applyNumberFormat="1" applyFont="1" applyFill="1" applyBorder="1" applyAlignment="1"/>
    <xf numFmtId="3" fontId="8" fillId="4" borderId="23" xfId="0" applyNumberFormat="1" applyFont="1" applyFill="1" applyBorder="1" applyAlignment="1"/>
    <xf numFmtId="3" fontId="8" fillId="4" borderId="2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vertical="center"/>
    </xf>
    <xf numFmtId="4" fontId="1" fillId="0" borderId="24" xfId="0" applyNumberFormat="1" applyFont="1" applyFill="1" applyBorder="1" applyAlignment="1"/>
    <xf numFmtId="0" fontId="35" fillId="0" borderId="0" xfId="0" applyFont="1"/>
    <xf numFmtId="0" fontId="36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 wrapText="1"/>
    </xf>
    <xf numFmtId="0" fontId="35" fillId="0" borderId="0" xfId="0" applyFont="1" applyBorder="1" applyAlignment="1"/>
    <xf numFmtId="0" fontId="17" fillId="0" borderId="3" xfId="3" applyFont="1" applyBorder="1" applyAlignment="1">
      <alignment horizontal="center"/>
    </xf>
    <xf numFmtId="0" fontId="17" fillId="0" borderId="8" xfId="3" applyFont="1" applyBorder="1" applyAlignment="1">
      <alignment horizontal="center"/>
    </xf>
    <xf numFmtId="0" fontId="17" fillId="0" borderId="20" xfId="3" applyFont="1" applyBorder="1" applyAlignment="1">
      <alignment horizontal="center"/>
    </xf>
    <xf numFmtId="0" fontId="17" fillId="0" borderId="4" xfId="3" applyFont="1" applyFill="1" applyBorder="1" applyAlignment="1">
      <alignment horizontal="center"/>
    </xf>
    <xf numFmtId="0" fontId="0" fillId="0" borderId="43" xfId="0" applyBorder="1"/>
    <xf numFmtId="0" fontId="28" fillId="0" borderId="52" xfId="0" applyFont="1" applyBorder="1" applyAlignment="1">
      <alignment horizontal="center"/>
    </xf>
    <xf numFmtId="0" fontId="28" fillId="0" borderId="0" xfId="0" applyFont="1"/>
    <xf numFmtId="0" fontId="28" fillId="0" borderId="44" xfId="0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 vertical="center"/>
    </xf>
    <xf numFmtId="4" fontId="3" fillId="6" borderId="4" xfId="0" applyNumberFormat="1" applyFont="1" applyFill="1" applyBorder="1" applyAlignment="1">
      <alignment vertical="center"/>
    </xf>
    <xf numFmtId="49" fontId="3" fillId="6" borderId="4" xfId="0" applyNumberFormat="1" applyFont="1" applyFill="1" applyBorder="1" applyAlignment="1">
      <alignment horizontal="center" vertical="center" wrapText="1"/>
    </xf>
    <xf numFmtId="167" fontId="3" fillId="6" borderId="4" xfId="0" applyNumberFormat="1" applyFont="1" applyFill="1" applyBorder="1" applyAlignment="1">
      <alignment horizontal="left" vertical="center" wrapText="1"/>
    </xf>
    <xf numFmtId="4" fontId="3" fillId="6" borderId="4" xfId="0" applyNumberFormat="1" applyFont="1" applyFill="1" applyBorder="1"/>
    <xf numFmtId="0" fontId="17" fillId="6" borderId="4" xfId="3" applyFont="1" applyFill="1" applyBorder="1" applyAlignment="1">
      <alignment horizontal="center"/>
    </xf>
    <xf numFmtId="0" fontId="17" fillId="0" borderId="0" xfId="3" applyFont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0" xfId="0" applyFont="1" applyFill="1"/>
    <xf numFmtId="3" fontId="8" fillId="0" borderId="4" xfId="12" applyNumberFormat="1" applyFont="1" applyFill="1" applyBorder="1" applyAlignment="1">
      <alignment horizontal="right"/>
    </xf>
    <xf numFmtId="3" fontId="8" fillId="0" borderId="8" xfId="12" applyNumberFormat="1" applyFont="1" applyFill="1" applyBorder="1"/>
    <xf numFmtId="3" fontId="1" fillId="0" borderId="8" xfId="12" applyNumberFormat="1" applyFont="1" applyFill="1" applyBorder="1"/>
    <xf numFmtId="3" fontId="1" fillId="0" borderId="18" xfId="12" applyNumberFormat="1" applyFont="1" applyFill="1" applyBorder="1"/>
    <xf numFmtId="3" fontId="8" fillId="0" borderId="18" xfId="12" applyNumberFormat="1" applyFont="1" applyFill="1" applyBorder="1"/>
    <xf numFmtId="0" fontId="8" fillId="0" borderId="16" xfId="3" applyFont="1" applyFill="1" applyBorder="1" applyAlignment="1">
      <alignment horizontal="center" vertical="center" wrapText="1"/>
    </xf>
    <xf numFmtId="0" fontId="2" fillId="0" borderId="10" xfId="3" applyBorder="1"/>
    <xf numFmtId="0" fontId="2" fillId="0" borderId="35" xfId="3" applyBorder="1"/>
    <xf numFmtId="3" fontId="3" fillId="0" borderId="18" xfId="3" applyNumberFormat="1" applyFont="1" applyBorder="1"/>
    <xf numFmtId="3" fontId="1" fillId="0" borderId="3" xfId="12" applyNumberFormat="1" applyFill="1" applyBorder="1"/>
    <xf numFmtId="3" fontId="1" fillId="0" borderId="3" xfId="12" applyNumberFormat="1" applyBorder="1"/>
    <xf numFmtId="3" fontId="4" fillId="0" borderId="3" xfId="12" applyNumberFormat="1" applyFont="1" applyBorder="1"/>
    <xf numFmtId="3" fontId="4" fillId="0" borderId="3" xfId="12" applyNumberFormat="1" applyFont="1" applyFill="1" applyBorder="1"/>
    <xf numFmtId="3" fontId="1" fillId="0" borderId="3" xfId="12" applyNumberFormat="1" applyFont="1" applyFill="1" applyBorder="1"/>
    <xf numFmtId="3" fontId="4" fillId="7" borderId="3" xfId="12" applyNumberFormat="1" applyFont="1" applyFill="1" applyBorder="1"/>
    <xf numFmtId="3" fontId="8" fillId="0" borderId="3" xfId="12" applyNumberFormat="1" applyFont="1" applyFill="1" applyBorder="1"/>
    <xf numFmtId="0" fontId="1" fillId="0" borderId="8" xfId="12" applyFont="1" applyFill="1" applyBorder="1"/>
    <xf numFmtId="3" fontId="1" fillId="0" borderId="3" xfId="12" applyNumberFormat="1" applyFont="1" applyBorder="1"/>
    <xf numFmtId="0" fontId="3" fillId="0" borderId="8" xfId="3" applyFont="1" applyBorder="1" applyAlignment="1">
      <alignment horizontal="center"/>
    </xf>
    <xf numFmtId="3" fontId="3" fillId="0" borderId="8" xfId="3" applyNumberFormat="1" applyFont="1" applyBorder="1"/>
    <xf numFmtId="0" fontId="3" fillId="0" borderId="25" xfId="3" applyFont="1" applyFill="1" applyBorder="1" applyAlignment="1">
      <alignment horizontal="center" vertical="center" wrapText="1"/>
    </xf>
    <xf numFmtId="3" fontId="2" fillId="0" borderId="3" xfId="3" applyNumberFormat="1" applyBorder="1"/>
    <xf numFmtId="3" fontId="3" fillId="0" borderId="3" xfId="3" applyNumberFormat="1" applyFont="1" applyBorder="1"/>
    <xf numFmtId="3" fontId="2" fillId="0" borderId="5" xfId="3" applyNumberFormat="1" applyBorder="1"/>
    <xf numFmtId="3" fontId="2" fillId="0" borderId="8" xfId="3" applyNumberFormat="1" applyBorder="1"/>
    <xf numFmtId="0" fontId="8" fillId="0" borderId="25" xfId="3" applyFont="1" applyFill="1" applyBorder="1" applyAlignment="1">
      <alignment horizontal="center" vertical="center" wrapText="1"/>
    </xf>
    <xf numFmtId="3" fontId="3" fillId="7" borderId="4" xfId="12" applyNumberFormat="1" applyFont="1" applyFill="1" applyBorder="1"/>
    <xf numFmtId="3" fontId="1" fillId="7" borderId="4" xfId="12" applyNumberFormat="1" applyFill="1" applyBorder="1"/>
    <xf numFmtId="0" fontId="3" fillId="0" borderId="12" xfId="3" applyFont="1" applyBorder="1" applyAlignment="1">
      <alignment horizontal="center"/>
    </xf>
    <xf numFmtId="3" fontId="3" fillId="0" borderId="4" xfId="12" applyNumberFormat="1" applyFont="1" applyFill="1" applyBorder="1" applyAlignment="1">
      <alignment horizontal="right"/>
    </xf>
    <xf numFmtId="3" fontId="3" fillId="0" borderId="8" xfId="3" applyNumberFormat="1" applyFont="1" applyBorder="1" applyAlignment="1">
      <alignment horizontal="center"/>
    </xf>
    <xf numFmtId="0" fontId="8" fillId="0" borderId="12" xfId="3" applyFont="1" applyFill="1" applyBorder="1" applyAlignment="1" applyProtection="1">
      <alignment horizontal="center" vertical="center" wrapText="1"/>
    </xf>
    <xf numFmtId="0" fontId="12" fillId="6" borderId="12" xfId="3" applyFont="1" applyFill="1" applyBorder="1" applyAlignment="1" applyProtection="1">
      <alignment horizontal="center" vertical="center" wrapText="1"/>
    </xf>
    <xf numFmtId="0" fontId="17" fillId="0" borderId="4" xfId="3" applyFont="1" applyBorder="1" applyAlignment="1" applyProtection="1">
      <alignment horizontal="center"/>
    </xf>
    <xf numFmtId="0" fontId="17" fillId="6" borderId="4" xfId="3" applyFont="1" applyFill="1" applyBorder="1" applyAlignment="1" applyProtection="1">
      <alignment horizontal="center"/>
    </xf>
    <xf numFmtId="3" fontId="3" fillId="0" borderId="4" xfId="3" applyNumberFormat="1" applyFont="1" applyBorder="1" applyAlignment="1" applyProtection="1">
      <alignment horizontal="center"/>
    </xf>
    <xf numFmtId="3" fontId="12" fillId="6" borderId="4" xfId="3" applyNumberFormat="1" applyFont="1" applyFill="1" applyBorder="1" applyAlignment="1" applyProtection="1">
      <alignment horizontal="center"/>
    </xf>
    <xf numFmtId="3" fontId="12" fillId="6" borderId="4" xfId="4" applyNumberFormat="1" applyFont="1" applyFill="1" applyBorder="1" applyProtection="1"/>
    <xf numFmtId="3" fontId="6" fillId="6" borderId="4" xfId="4" applyNumberFormat="1" applyFont="1" applyFill="1" applyBorder="1" applyProtection="1"/>
    <xf numFmtId="3" fontId="6" fillId="6" borderId="4" xfId="3" applyNumberFormat="1" applyFont="1" applyFill="1" applyBorder="1" applyProtection="1"/>
    <xf numFmtId="3" fontId="12" fillId="6" borderId="4" xfId="3" applyNumberFormat="1" applyFont="1" applyFill="1" applyBorder="1" applyProtection="1"/>
    <xf numFmtId="3" fontId="3" fillId="0" borderId="4" xfId="3" applyNumberFormat="1" applyFont="1" applyBorder="1" applyProtection="1"/>
    <xf numFmtId="3" fontId="2" fillId="0" borderId="4" xfId="3" applyNumberFormat="1" applyBorder="1" applyProtection="1"/>
    <xf numFmtId="3" fontId="2" fillId="0" borderId="6" xfId="3" applyNumberFormat="1" applyBorder="1" applyProtection="1"/>
    <xf numFmtId="3" fontId="6" fillId="6" borderId="6" xfId="3" applyNumberFormat="1" applyFont="1" applyFill="1" applyBorder="1" applyProtection="1"/>
    <xf numFmtId="0" fontId="8" fillId="0" borderId="25" xfId="3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</xf>
    <xf numFmtId="3" fontId="3" fillId="0" borderId="3" xfId="3" applyNumberFormat="1" applyFont="1" applyBorder="1" applyAlignment="1" applyProtection="1">
      <alignment horizontal="center"/>
    </xf>
    <xf numFmtId="3" fontId="3" fillId="0" borderId="3" xfId="3" applyNumberFormat="1" applyFont="1" applyBorder="1" applyProtection="1"/>
    <xf numFmtId="3" fontId="2" fillId="0" borderId="3" xfId="3" applyNumberFormat="1" applyBorder="1" applyProtection="1"/>
    <xf numFmtId="3" fontId="2" fillId="0" borderId="5" xfId="3" applyNumberFormat="1" applyBorder="1" applyProtection="1"/>
    <xf numFmtId="3" fontId="3" fillId="0" borderId="3" xfId="3" applyNumberFormat="1" applyFont="1" applyBorder="1" applyAlignment="1">
      <alignment horizontal="center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12" fillId="6" borderId="4" xfId="3" applyFont="1" applyFill="1" applyBorder="1" applyAlignment="1">
      <alignment horizontal="center" vertical="center" wrapText="1"/>
    </xf>
    <xf numFmtId="3" fontId="3" fillId="0" borderId="4" xfId="12" applyNumberFormat="1" applyFont="1" applyBorder="1" applyAlignment="1">
      <alignment horizontal="right"/>
    </xf>
    <xf numFmtId="0" fontId="1" fillId="0" borderId="4" xfId="12" applyBorder="1"/>
    <xf numFmtId="3" fontId="4" fillId="0" borderId="4" xfId="12" applyNumberFormat="1" applyFont="1" applyFill="1" applyBorder="1" applyAlignment="1">
      <alignment vertical="center"/>
    </xf>
    <xf numFmtId="3" fontId="3" fillId="0" borderId="5" xfId="3" applyNumberFormat="1" applyFont="1" applyBorder="1"/>
    <xf numFmtId="3" fontId="2" fillId="0" borderId="18" xfId="3" applyNumberFormat="1" applyBorder="1"/>
    <xf numFmtId="0" fontId="1" fillId="0" borderId="0" xfId="3" applyFont="1" applyAlignment="1">
      <alignment horizontal="center"/>
    </xf>
    <xf numFmtId="0" fontId="0" fillId="0" borderId="14" xfId="0" applyBorder="1" applyAlignment="1"/>
    <xf numFmtId="0" fontId="1" fillId="0" borderId="0" xfId="3" applyFont="1"/>
    <xf numFmtId="0" fontId="3" fillId="0" borderId="14" xfId="3" applyFont="1" applyBorder="1" applyAlignment="1">
      <alignment horizontal="right"/>
    </xf>
    <xf numFmtId="0" fontId="38" fillId="0" borderId="0" xfId="3" applyFont="1" applyFill="1" applyAlignment="1">
      <alignment vertical="center"/>
    </xf>
    <xf numFmtId="3" fontId="2" fillId="0" borderId="0" xfId="3" applyNumberFormat="1" applyFill="1"/>
    <xf numFmtId="0" fontId="12" fillId="6" borderId="4" xfId="3" applyFont="1" applyFill="1" applyBorder="1" applyAlignment="1">
      <alignment horizontal="right"/>
    </xf>
    <xf numFmtId="3" fontId="12" fillId="6" borderId="4" xfId="3" applyNumberFormat="1" applyFont="1" applyFill="1" applyBorder="1" applyAlignment="1" applyProtection="1">
      <alignment horizontal="right"/>
    </xf>
    <xf numFmtId="0" fontId="28" fillId="0" borderId="58" xfId="0" applyFont="1" applyBorder="1" applyAlignment="1">
      <alignment horizontal="center"/>
    </xf>
    <xf numFmtId="0" fontId="0" fillId="0" borderId="0" xfId="0"/>
    <xf numFmtId="0" fontId="28" fillId="0" borderId="0" xfId="0" applyFont="1" applyBorder="1"/>
    <xf numFmtId="0" fontId="28" fillId="0" borderId="0" xfId="0" applyFont="1" applyBorder="1" applyAlignment="1">
      <alignment horizontal="left"/>
    </xf>
    <xf numFmtId="3" fontId="8" fillId="0" borderId="4" xfId="3" applyNumberFormat="1" applyFont="1" applyBorder="1"/>
    <xf numFmtId="3" fontId="8" fillId="0" borderId="10" xfId="3" applyNumberFormat="1" applyFont="1" applyBorder="1"/>
    <xf numFmtId="3" fontId="21" fillId="6" borderId="4" xfId="3" applyNumberFormat="1" applyFont="1" applyFill="1" applyBorder="1"/>
    <xf numFmtId="0" fontId="2" fillId="0" borderId="12" xfId="3" applyBorder="1"/>
    <xf numFmtId="0" fontId="2" fillId="0" borderId="11" xfId="3" applyBorder="1"/>
    <xf numFmtId="0" fontId="2" fillId="0" borderId="27" xfId="3" applyBorder="1"/>
    <xf numFmtId="0" fontId="2" fillId="0" borderId="16" xfId="3" applyBorder="1"/>
    <xf numFmtId="0" fontId="3" fillId="0" borderId="11" xfId="3" applyFont="1" applyBorder="1"/>
    <xf numFmtId="49" fontId="26" fillId="0" borderId="4" xfId="3" applyNumberFormat="1" applyFont="1" applyBorder="1" applyAlignment="1">
      <alignment horizontal="center"/>
    </xf>
    <xf numFmtId="49" fontId="26" fillId="0" borderId="4" xfId="3" applyNumberFormat="1" applyFont="1" applyFill="1" applyBorder="1" applyAlignment="1">
      <alignment horizontal="center"/>
    </xf>
    <xf numFmtId="49" fontId="26" fillId="0" borderId="4" xfId="3" applyNumberFormat="1" applyFont="1" applyBorder="1"/>
    <xf numFmtId="49" fontId="28" fillId="0" borderId="8" xfId="3" applyNumberFormat="1" applyFont="1" applyBorder="1" applyAlignment="1">
      <alignment vertical="center"/>
    </xf>
    <xf numFmtId="49" fontId="28" fillId="0" borderId="12" xfId="3" applyNumberFormat="1" applyFont="1" applyBorder="1"/>
    <xf numFmtId="49" fontId="28" fillId="0" borderId="4" xfId="3" applyNumberFormat="1" applyFont="1" applyBorder="1"/>
    <xf numFmtId="49" fontId="28" fillId="0" borderId="4" xfId="3" applyNumberFormat="1" applyFont="1" applyBorder="1" applyAlignment="1">
      <alignment vertical="center" wrapText="1"/>
    </xf>
    <xf numFmtId="49" fontId="16" fillId="0" borderId="10" xfId="0" applyNumberFormat="1" applyFont="1" applyFill="1" applyBorder="1" applyAlignment="1">
      <alignment horizontal="center"/>
    </xf>
    <xf numFmtId="0" fontId="28" fillId="0" borderId="45" xfId="0" applyFont="1" applyBorder="1" applyAlignment="1">
      <alignment horizontal="left"/>
    </xf>
    <xf numFmtId="0" fontId="28" fillId="0" borderId="46" xfId="0" applyFont="1" applyBorder="1" applyAlignment="1">
      <alignment horizontal="left"/>
    </xf>
    <xf numFmtId="0" fontId="28" fillId="0" borderId="47" xfId="0" applyFont="1" applyBorder="1" applyAlignment="1">
      <alignment horizontal="left"/>
    </xf>
    <xf numFmtId="0" fontId="3" fillId="0" borderId="8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2" fillId="0" borderId="8" xfId="3" applyFont="1" applyBorder="1"/>
    <xf numFmtId="0" fontId="1" fillId="0" borderId="8" xfId="3" applyFont="1" applyBorder="1"/>
    <xf numFmtId="0" fontId="4" fillId="0" borderId="8" xfId="3" applyFont="1" applyBorder="1"/>
    <xf numFmtId="0" fontId="2" fillId="0" borderId="8" xfId="3" applyFill="1" applyBorder="1"/>
    <xf numFmtId="0" fontId="4" fillId="0" borderId="8" xfId="3" applyFont="1" applyFill="1" applyBorder="1"/>
    <xf numFmtId="0" fontId="4" fillId="0" borderId="8" xfId="3" applyFont="1" applyFill="1" applyBorder="1" applyAlignment="1">
      <alignment vertical="center" wrapText="1"/>
    </xf>
    <xf numFmtId="0" fontId="2" fillId="0" borderId="8" xfId="3" applyFont="1" applyFill="1" applyBorder="1"/>
    <xf numFmtId="0" fontId="10" fillId="0" borderId="8" xfId="3" applyFont="1" applyBorder="1"/>
    <xf numFmtId="0" fontId="0" fillId="0" borderId="26" xfId="0" applyBorder="1" applyAlignment="1">
      <alignment wrapText="1"/>
    </xf>
    <xf numFmtId="3" fontId="1" fillId="0" borderId="3" xfId="12" applyNumberFormat="1" applyFill="1" applyBorder="1" applyProtection="1"/>
    <xf numFmtId="0" fontId="1" fillId="0" borderId="8" xfId="3" applyFont="1" applyFill="1" applyBorder="1"/>
    <xf numFmtId="3" fontId="3" fillId="0" borderId="4" xfId="12" applyNumberFormat="1" applyFont="1" applyFill="1" applyBorder="1" applyProtection="1"/>
    <xf numFmtId="3" fontId="4" fillId="0" borderId="4" xfId="12" applyNumberFormat="1" applyFont="1" applyFill="1" applyBorder="1" applyProtection="1"/>
    <xf numFmtId="3" fontId="1" fillId="0" borderId="4" xfId="12" applyNumberFormat="1" applyFill="1" applyBorder="1" applyProtection="1"/>
    <xf numFmtId="3" fontId="4" fillId="0" borderId="4" xfId="12" applyNumberFormat="1" applyFont="1" applyBorder="1" applyProtection="1"/>
    <xf numFmtId="3" fontId="3" fillId="3" borderId="4" xfId="12" applyNumberFormat="1" applyFont="1" applyFill="1" applyBorder="1" applyProtection="1"/>
    <xf numFmtId="3" fontId="1" fillId="0" borderId="4" xfId="12" applyNumberFormat="1" applyFont="1" applyFill="1" applyBorder="1" applyProtection="1"/>
    <xf numFmtId="3" fontId="3" fillId="0" borderId="4" xfId="12" applyNumberFormat="1" applyFont="1" applyBorder="1" applyProtection="1"/>
    <xf numFmtId="3" fontId="3" fillId="0" borderId="4" xfId="12" applyNumberFormat="1" applyFont="1" applyFill="1" applyBorder="1" applyAlignment="1" applyProtection="1">
      <alignment horizontal="right"/>
    </xf>
    <xf numFmtId="0" fontId="1" fillId="0" borderId="0" xfId="12"/>
    <xf numFmtId="0" fontId="1" fillId="0" borderId="3" xfId="12" applyBorder="1"/>
    <xf numFmtId="0" fontId="28" fillId="0" borderId="4" xfId="12" applyFont="1" applyBorder="1" applyAlignment="1">
      <alignment horizontal="center"/>
    </xf>
    <xf numFmtId="0" fontId="16" fillId="0" borderId="4" xfId="12" applyFont="1" applyFill="1" applyBorder="1" applyAlignment="1">
      <alignment horizontal="center"/>
    </xf>
    <xf numFmtId="3" fontId="6" fillId="6" borderId="18" xfId="12" applyNumberFormat="1" applyFont="1" applyFill="1" applyBorder="1" applyProtection="1"/>
    <xf numFmtId="4" fontId="20" fillId="0" borderId="20" xfId="12" applyNumberFormat="1" applyFont="1" applyFill="1" applyBorder="1"/>
    <xf numFmtId="0" fontId="0" fillId="0" borderId="8" xfId="0" applyFill="1" applyBorder="1"/>
    <xf numFmtId="0" fontId="2" fillId="0" borderId="26" xfId="0" applyFont="1" applyBorder="1" applyAlignment="1">
      <alignment wrapText="1"/>
    </xf>
    <xf numFmtId="0" fontId="1" fillId="0" borderId="4" xfId="12" applyFont="1" applyBorder="1"/>
    <xf numFmtId="0" fontId="1" fillId="0" borderId="8" xfId="3" applyFont="1" applyBorder="1" applyAlignment="1">
      <alignment wrapText="1"/>
    </xf>
    <xf numFmtId="0" fontId="2" fillId="0" borderId="26" xfId="3" applyFill="1" applyBorder="1"/>
    <xf numFmtId="0" fontId="2" fillId="0" borderId="27" xfId="3" applyFont="1" applyBorder="1"/>
    <xf numFmtId="0" fontId="0" fillId="0" borderId="8" xfId="0" applyBorder="1"/>
    <xf numFmtId="0" fontId="24" fillId="0" borderId="3" xfId="12" applyFont="1" applyBorder="1" applyAlignment="1">
      <alignment horizontal="right" vertical="top"/>
    </xf>
    <xf numFmtId="0" fontId="29" fillId="0" borderId="10" xfId="12" applyFont="1" applyFill="1" applyBorder="1" applyAlignment="1">
      <alignment horizontal="center" vertical="top"/>
    </xf>
    <xf numFmtId="3" fontId="1" fillId="0" borderId="0" xfId="12" applyNumberFormat="1" applyAlignment="1">
      <alignment horizontal="right"/>
    </xf>
    <xf numFmtId="0" fontId="24" fillId="0" borderId="0" xfId="0" applyFont="1"/>
    <xf numFmtId="0" fontId="24" fillId="0" borderId="0" xfId="0" applyFont="1" applyFill="1"/>
    <xf numFmtId="3" fontId="24" fillId="0" borderId="0" xfId="0" applyNumberFormat="1" applyFont="1" applyFill="1"/>
    <xf numFmtId="3" fontId="31" fillId="0" borderId="0" xfId="0" applyNumberFormat="1" applyFont="1"/>
    <xf numFmtId="3" fontId="41" fillId="0" borderId="0" xfId="0" applyNumberFormat="1" applyFont="1"/>
    <xf numFmtId="4" fontId="20" fillId="0" borderId="0" xfId="3" applyNumberFormat="1" applyFont="1" applyFill="1"/>
    <xf numFmtId="0" fontId="1" fillId="0" borderId="0" xfId="3" applyFont="1" applyFill="1"/>
    <xf numFmtId="0" fontId="8" fillId="0" borderId="0" xfId="3" applyFont="1"/>
    <xf numFmtId="0" fontId="8" fillId="0" borderId="7" xfId="3" applyFont="1" applyBorder="1"/>
    <xf numFmtId="3" fontId="1" fillId="0" borderId="0" xfId="3" applyNumberFormat="1" applyFont="1"/>
    <xf numFmtId="2" fontId="22" fillId="4" borderId="23" xfId="0" applyNumberFormat="1" applyFont="1" applyFill="1" applyBorder="1" applyAlignment="1">
      <alignment horizontal="right" vertical="center"/>
    </xf>
    <xf numFmtId="2" fontId="22" fillId="4" borderId="4" xfId="0" applyNumberFormat="1" applyFont="1" applyFill="1" applyBorder="1" applyAlignment="1">
      <alignment horizontal="right" vertical="center"/>
    </xf>
    <xf numFmtId="0" fontId="28" fillId="0" borderId="4" xfId="3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3" fontId="8" fillId="0" borderId="0" xfId="0" applyNumberFormat="1" applyFont="1"/>
    <xf numFmtId="0" fontId="8" fillId="0" borderId="8" xfId="12" applyFont="1" applyFill="1" applyBorder="1" applyAlignment="1">
      <alignment horizontal="right"/>
    </xf>
    <xf numFmtId="0" fontId="6" fillId="0" borderId="0" xfId="12" applyFont="1" applyAlignment="1">
      <alignment horizontal="left"/>
    </xf>
    <xf numFmtId="3" fontId="1" fillId="0" borderId="0" xfId="12" applyNumberFormat="1"/>
    <xf numFmtId="4" fontId="1" fillId="0" borderId="0" xfId="12" applyNumberFormat="1"/>
    <xf numFmtId="0" fontId="1" fillId="0" borderId="0" xfId="12" applyFont="1" applyAlignment="1">
      <alignment horizontal="left"/>
    </xf>
    <xf numFmtId="0" fontId="7" fillId="0" borderId="0" xfId="12" applyFont="1" applyAlignment="1">
      <alignment horizontal="left"/>
    </xf>
    <xf numFmtId="4" fontId="7" fillId="0" borderId="0" xfId="12" applyNumberFormat="1" applyFont="1" applyAlignment="1">
      <alignment horizontal="left"/>
    </xf>
    <xf numFmtId="0" fontId="0" fillId="0" borderId="0" xfId="0"/>
    <xf numFmtId="0" fontId="0" fillId="0" borderId="0" xfId="0"/>
    <xf numFmtId="3" fontId="3" fillId="0" borderId="3" xfId="12" applyNumberFormat="1" applyFont="1" applyFill="1" applyBorder="1"/>
    <xf numFmtId="3" fontId="3" fillId="3" borderId="3" xfId="12" applyNumberFormat="1" applyFont="1" applyFill="1" applyBorder="1"/>
    <xf numFmtId="3" fontId="3" fillId="0" borderId="3" xfId="12" applyNumberFormat="1" applyFont="1" applyBorder="1"/>
    <xf numFmtId="3" fontId="3" fillId="0" borderId="3" xfId="12" applyNumberFormat="1" applyFont="1" applyFill="1" applyBorder="1" applyAlignment="1">
      <alignment horizontal="right"/>
    </xf>
    <xf numFmtId="3" fontId="3" fillId="0" borderId="10" xfId="12" applyNumberFormat="1" applyFont="1" applyFill="1" applyBorder="1" applyAlignment="1">
      <alignment horizontal="right"/>
    </xf>
    <xf numFmtId="3" fontId="1" fillId="0" borderId="10" xfId="12" applyNumberFormat="1" applyFont="1" applyFill="1" applyBorder="1"/>
    <xf numFmtId="3" fontId="3" fillId="7" borderId="3" xfId="12" applyNumberFormat="1" applyFont="1" applyFill="1" applyBorder="1"/>
    <xf numFmtId="3" fontId="1" fillId="7" borderId="3" xfId="12" applyNumberFormat="1" applyFill="1" applyBorder="1"/>
    <xf numFmtId="3" fontId="3" fillId="0" borderId="3" xfId="12" applyNumberFormat="1" applyFont="1" applyFill="1" applyBorder="1" applyProtection="1"/>
    <xf numFmtId="3" fontId="4" fillId="0" borderId="3" xfId="12" applyNumberFormat="1" applyFont="1" applyFill="1" applyBorder="1" applyProtection="1"/>
    <xf numFmtId="3" fontId="4" fillId="0" borderId="3" xfId="12" applyNumberFormat="1" applyFont="1" applyBorder="1" applyProtection="1"/>
    <xf numFmtId="3" fontId="3" fillId="3" borderId="3" xfId="12" applyNumberFormat="1" applyFont="1" applyFill="1" applyBorder="1" applyProtection="1"/>
    <xf numFmtId="3" fontId="1" fillId="0" borderId="3" xfId="12" applyNumberFormat="1" applyFont="1" applyFill="1" applyBorder="1" applyProtection="1"/>
    <xf numFmtId="3" fontId="3" fillId="0" borderId="3" xfId="12" applyNumberFormat="1" applyFont="1" applyBorder="1" applyProtection="1"/>
    <xf numFmtId="3" fontId="3" fillId="0" borderId="3" xfId="12" applyNumberFormat="1" applyFont="1" applyFill="1" applyBorder="1" applyAlignment="1" applyProtection="1">
      <alignment horizontal="right"/>
    </xf>
    <xf numFmtId="3" fontId="3" fillId="0" borderId="4" xfId="12" applyNumberFormat="1" applyFont="1" applyBorder="1" applyAlignment="1" applyProtection="1">
      <alignment horizontal="right"/>
    </xf>
    <xf numFmtId="3" fontId="3" fillId="0" borderId="3" xfId="12" applyNumberFormat="1" applyFont="1" applyBorder="1" applyAlignment="1">
      <alignment horizontal="right"/>
    </xf>
    <xf numFmtId="0" fontId="3" fillId="0" borderId="3" xfId="12" applyFont="1" applyFill="1" applyBorder="1" applyAlignment="1">
      <alignment horizontal="right"/>
    </xf>
    <xf numFmtId="0" fontId="3" fillId="0" borderId="4" xfId="12" applyFont="1" applyFill="1" applyBorder="1" applyAlignment="1">
      <alignment horizontal="right"/>
    </xf>
    <xf numFmtId="3" fontId="4" fillId="0" borderId="3" xfId="12" applyNumberFormat="1" applyFont="1" applyFill="1" applyBorder="1" applyAlignment="1">
      <alignment vertical="center"/>
    </xf>
    <xf numFmtId="3" fontId="3" fillId="0" borderId="32" xfId="12" applyNumberFormat="1" applyFont="1" applyFill="1" applyBorder="1"/>
    <xf numFmtId="0" fontId="17" fillId="0" borderId="18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3" fontId="3" fillId="0" borderId="18" xfId="12" applyNumberFormat="1" applyFont="1" applyFill="1" applyBorder="1" applyAlignment="1">
      <alignment horizontal="right"/>
    </xf>
    <xf numFmtId="3" fontId="1" fillId="0" borderId="18" xfId="12" applyNumberFormat="1" applyFill="1" applyBorder="1"/>
    <xf numFmtId="3" fontId="3" fillId="0" borderId="18" xfId="12" applyNumberFormat="1" applyFont="1" applyFill="1" applyBorder="1"/>
    <xf numFmtId="3" fontId="4" fillId="0" borderId="18" xfId="12" applyNumberFormat="1" applyFont="1" applyFill="1" applyBorder="1"/>
    <xf numFmtId="3" fontId="4" fillId="0" borderId="18" xfId="12" applyNumberFormat="1" applyFont="1" applyFill="1" applyBorder="1" applyAlignment="1">
      <alignment vertical="center"/>
    </xf>
    <xf numFmtId="3" fontId="3" fillId="0" borderId="18" xfId="12" applyNumberFormat="1" applyFont="1" applyBorder="1"/>
    <xf numFmtId="0" fontId="2" fillId="0" borderId="18" xfId="3" applyBorder="1"/>
    <xf numFmtId="0" fontId="2" fillId="0" borderId="31" xfId="3" applyBorder="1"/>
    <xf numFmtId="0" fontId="22" fillId="0" borderId="27" xfId="12" applyFont="1" applyFill="1" applyBorder="1" applyAlignment="1">
      <alignment horizontal="center" vertical="center" wrapText="1"/>
    </xf>
    <xf numFmtId="0" fontId="0" fillId="0" borderId="0" xfId="0"/>
    <xf numFmtId="6" fontId="2" fillId="0" borderId="0" xfId="3" applyNumberFormat="1"/>
    <xf numFmtId="0" fontId="28" fillId="0" borderId="4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12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8" xfId="12" applyFont="1" applyFill="1" applyBorder="1" applyAlignment="1">
      <alignment horizontal="center" vertical="center" wrapText="1"/>
    </xf>
    <xf numFmtId="3" fontId="48" fillId="0" borderId="0" xfId="0" applyNumberFormat="1" applyFont="1"/>
    <xf numFmtId="4" fontId="48" fillId="0" borderId="0" xfId="5" applyNumberFormat="1" applyFont="1"/>
    <xf numFmtId="0" fontId="1" fillId="0" borderId="0" xfId="0" applyFont="1" applyAlignment="1">
      <alignment horizontal="justify" wrapText="1"/>
    </xf>
    <xf numFmtId="3" fontId="1" fillId="0" borderId="18" xfId="12" applyNumberFormat="1" applyBorder="1"/>
    <xf numFmtId="3" fontId="8" fillId="0" borderId="18" xfId="3" applyNumberFormat="1" applyFont="1" applyBorder="1"/>
    <xf numFmtId="4" fontId="1" fillId="0" borderId="0" xfId="13" applyNumberFormat="1" applyFont="1" applyFill="1"/>
    <xf numFmtId="4" fontId="0" fillId="0" borderId="0" xfId="0" applyNumberFormat="1" applyFill="1"/>
    <xf numFmtId="43" fontId="0" fillId="0" borderId="0" xfId="0" applyNumberFormat="1" applyFill="1"/>
    <xf numFmtId="4" fontId="6" fillId="0" borderId="0" xfId="0" applyNumberFormat="1" applyFont="1" applyFill="1"/>
    <xf numFmtId="4" fontId="8" fillId="0" borderId="0" xfId="14" applyNumberFormat="1" applyFont="1" applyFill="1"/>
    <xf numFmtId="4" fontId="1" fillId="0" borderId="0" xfId="0" applyNumberFormat="1" applyFont="1" applyFill="1"/>
    <xf numFmtId="4" fontId="25" fillId="0" borderId="0" xfId="2" applyNumberFormat="1" applyFont="1" applyFill="1"/>
    <xf numFmtId="4" fontId="24" fillId="0" borderId="0" xfId="0" applyNumberFormat="1" applyFont="1" applyFill="1"/>
    <xf numFmtId="4" fontId="40" fillId="0" borderId="0" xfId="2" applyNumberFormat="1" applyFont="1" applyFill="1"/>
    <xf numFmtId="0" fontId="0" fillId="0" borderId="0" xfId="0"/>
    <xf numFmtId="0" fontId="28" fillId="0" borderId="49" xfId="0" applyFont="1" applyBorder="1" applyAlignment="1">
      <alignment horizontal="left"/>
    </xf>
    <xf numFmtId="0" fontId="28" fillId="0" borderId="50" xfId="0" applyFont="1" applyBorder="1" applyAlignment="1">
      <alignment horizontal="left"/>
    </xf>
    <xf numFmtId="0" fontId="28" fillId="0" borderId="51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28" fillId="0" borderId="46" xfId="0" applyFont="1" applyBorder="1" applyAlignment="1">
      <alignment horizontal="left"/>
    </xf>
    <xf numFmtId="0" fontId="28" fillId="0" borderId="47" xfId="0" applyFont="1" applyBorder="1" applyAlignment="1">
      <alignment horizontal="left"/>
    </xf>
    <xf numFmtId="0" fontId="28" fillId="0" borderId="5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/>
    </xf>
    <xf numFmtId="0" fontId="9" fillId="6" borderId="41" xfId="3" applyFont="1" applyFill="1" applyBorder="1" applyAlignment="1">
      <alignment horizontal="left" vertical="center"/>
    </xf>
    <xf numFmtId="0" fontId="3" fillId="0" borderId="14" xfId="3" applyFont="1" applyBorder="1" applyAlignment="1">
      <alignment horizontal="right"/>
    </xf>
    <xf numFmtId="0" fontId="0" fillId="0" borderId="0" xfId="0"/>
    <xf numFmtId="0" fontId="1" fillId="0" borderId="8" xfId="3" applyFont="1" applyFill="1" applyBorder="1" applyAlignment="1">
      <alignment wrapText="1"/>
    </xf>
    <xf numFmtId="0" fontId="0" fillId="0" borderId="26" xfId="0" applyFill="1" applyBorder="1"/>
    <xf numFmtId="0" fontId="1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" fillId="0" borderId="8" xfId="0" applyFont="1" applyFill="1" applyBorder="1"/>
    <xf numFmtId="0" fontId="2" fillId="0" borderId="3" xfId="3" applyFill="1" applyBorder="1"/>
    <xf numFmtId="0" fontId="6" fillId="0" borderId="0" xfId="3" applyFont="1" applyFill="1"/>
    <xf numFmtId="0" fontId="3" fillId="6" borderId="16" xfId="3" applyFont="1" applyFill="1" applyBorder="1" applyAlignment="1">
      <alignment horizontal="center" vertical="center" wrapText="1"/>
    </xf>
    <xf numFmtId="3" fontId="3" fillId="6" borderId="10" xfId="3" applyNumberFormat="1" applyFont="1" applyFill="1" applyBorder="1" applyAlignment="1">
      <alignment horizontal="right"/>
    </xf>
    <xf numFmtId="3" fontId="3" fillId="0" borderId="10" xfId="3" applyNumberFormat="1" applyFont="1" applyBorder="1" applyAlignment="1">
      <alignment horizontal="right"/>
    </xf>
    <xf numFmtId="3" fontId="4" fillId="0" borderId="10" xfId="3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3" fillId="6" borderId="10" xfId="3" applyNumberFormat="1" applyFont="1" applyFill="1" applyBorder="1"/>
    <xf numFmtId="3" fontId="24" fillId="0" borderId="10" xfId="3" applyNumberFormat="1" applyFont="1" applyBorder="1"/>
    <xf numFmtId="3" fontId="3" fillId="6" borderId="18" xfId="3" applyNumberFormat="1" applyFont="1" applyFill="1" applyBorder="1" applyAlignment="1">
      <alignment horizontal="right"/>
    </xf>
    <xf numFmtId="3" fontId="3" fillId="0" borderId="18" xfId="3" applyNumberFormat="1" applyFont="1" applyBorder="1" applyAlignment="1">
      <alignment horizontal="right"/>
    </xf>
    <xf numFmtId="3" fontId="4" fillId="0" borderId="18" xfId="3" applyNumberFormat="1" applyFont="1" applyBorder="1" applyAlignment="1">
      <alignment horizontal="right"/>
    </xf>
    <xf numFmtId="3" fontId="3" fillId="0" borderId="18" xfId="3" applyNumberFormat="1" applyFont="1" applyFill="1" applyBorder="1" applyAlignment="1">
      <alignment horizontal="right"/>
    </xf>
    <xf numFmtId="3" fontId="3" fillId="6" borderId="18" xfId="3" applyNumberFormat="1" applyFont="1" applyFill="1" applyBorder="1"/>
    <xf numFmtId="3" fontId="4" fillId="0" borderId="18" xfId="3" applyNumberFormat="1" applyFont="1" applyBorder="1"/>
    <xf numFmtId="3" fontId="24" fillId="0" borderId="18" xfId="3" applyNumberFormat="1" applyFont="1" applyBorder="1"/>
    <xf numFmtId="3" fontId="2" fillId="0" borderId="18" xfId="3" applyNumberFormat="1" applyFill="1" applyBorder="1"/>
    <xf numFmtId="0" fontId="42" fillId="0" borderId="10" xfId="3" applyFont="1" applyBorder="1" applyAlignment="1">
      <alignment horizontal="center" vertical="top"/>
    </xf>
    <xf numFmtId="0" fontId="24" fillId="0" borderId="3" xfId="3" applyFont="1" applyBorder="1" applyAlignment="1">
      <alignment horizontal="right" vertical="center"/>
    </xf>
    <xf numFmtId="0" fontId="28" fillId="0" borderId="45" xfId="0" applyFont="1" applyBorder="1" applyAlignment="1">
      <alignment horizontal="left"/>
    </xf>
    <xf numFmtId="49" fontId="28" fillId="0" borderId="4" xfId="3" applyNumberFormat="1" applyFont="1" applyBorder="1" applyAlignment="1">
      <alignment vertical="center"/>
    </xf>
    <xf numFmtId="0" fontId="16" fillId="0" borderId="4" xfId="3" applyFont="1" applyFill="1" applyBorder="1" applyAlignment="1">
      <alignment horizontal="center" vertical="center"/>
    </xf>
    <xf numFmtId="3" fontId="6" fillId="6" borderId="4" xfId="4" applyNumberFormat="1" applyFont="1" applyFill="1" applyBorder="1" applyAlignment="1">
      <alignment vertical="center"/>
    </xf>
    <xf numFmtId="0" fontId="42" fillId="0" borderId="10" xfId="3" applyFont="1" applyFill="1" applyBorder="1" applyAlignment="1">
      <alignment horizontal="center" vertical="center"/>
    </xf>
    <xf numFmtId="3" fontId="24" fillId="0" borderId="4" xfId="3" applyNumberFormat="1" applyFont="1" applyBorder="1" applyAlignment="1">
      <alignment vertical="center"/>
    </xf>
    <xf numFmtId="3" fontId="24" fillId="0" borderId="18" xfId="3" applyNumberFormat="1" applyFont="1" applyBorder="1" applyAlignment="1">
      <alignment vertical="center"/>
    </xf>
    <xf numFmtId="3" fontId="24" fillId="0" borderId="10" xfId="3" applyNumberFormat="1" applyFont="1" applyBorder="1" applyAlignment="1">
      <alignment vertical="center"/>
    </xf>
    <xf numFmtId="3" fontId="39" fillId="6" borderId="4" xfId="3" applyNumberFormat="1" applyFont="1" applyFill="1" applyBorder="1" applyAlignment="1">
      <alignment vertical="center"/>
    </xf>
    <xf numFmtId="4" fontId="24" fillId="0" borderId="20" xfId="3" applyNumberFormat="1" applyFont="1" applyBorder="1" applyAlignment="1">
      <alignment horizontal="right" vertical="center"/>
    </xf>
    <xf numFmtId="49" fontId="24" fillId="0" borderId="3" xfId="0" applyNumberFormat="1" applyFont="1" applyBorder="1" applyAlignment="1">
      <alignment horizontal="right" vertical="center"/>
    </xf>
    <xf numFmtId="3" fontId="30" fillId="6" borderId="4" xfId="3" applyNumberFormat="1" applyFont="1" applyFill="1" applyBorder="1" applyAlignment="1">
      <alignment vertical="center"/>
    </xf>
    <xf numFmtId="49" fontId="29" fillId="0" borderId="10" xfId="0" applyNumberFormat="1" applyFont="1" applyFill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/>
    </xf>
    <xf numFmtId="0" fontId="29" fillId="0" borderId="16" xfId="3" applyFont="1" applyFill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right" vertical="center"/>
    </xf>
    <xf numFmtId="49" fontId="42" fillId="0" borderId="10" xfId="0" applyNumberFormat="1" applyFont="1" applyFill="1" applyBorder="1" applyAlignment="1">
      <alignment horizontal="center" vertical="center"/>
    </xf>
    <xf numFmtId="0" fontId="3" fillId="0" borderId="3" xfId="3" applyFont="1" applyBorder="1" applyAlignment="1">
      <alignment vertical="center"/>
    </xf>
    <xf numFmtId="0" fontId="17" fillId="0" borderId="10" xfId="3" applyFont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2" fillId="0" borderId="3" xfId="3" applyNumberFormat="1" applyFont="1" applyBorder="1" applyAlignment="1">
      <alignment horizontal="center" vertical="center"/>
    </xf>
    <xf numFmtId="49" fontId="16" fillId="0" borderId="10" xfId="3" applyNumberFormat="1" applyFont="1" applyBorder="1" applyAlignment="1">
      <alignment horizontal="center" vertical="center"/>
    </xf>
    <xf numFmtId="49" fontId="3" fillId="6" borderId="3" xfId="3" applyNumberFormat="1" applyFont="1" applyFill="1" applyBorder="1" applyAlignment="1">
      <alignment horizontal="center" vertical="center"/>
    </xf>
    <xf numFmtId="49" fontId="17" fillId="6" borderId="10" xfId="3" applyNumberFormat="1" applyFont="1" applyFill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3" fillId="6" borderId="3" xfId="3" applyFont="1" applyFill="1" applyBorder="1" applyAlignment="1">
      <alignment horizontal="center" vertical="center"/>
    </xf>
    <xf numFmtId="0" fontId="17" fillId="6" borderId="10" xfId="3" applyFont="1" applyFill="1" applyBorder="1" applyAlignment="1">
      <alignment horizontal="center" vertical="center"/>
    </xf>
    <xf numFmtId="0" fontId="2" fillId="0" borderId="3" xfId="3" applyFill="1" applyBorder="1" applyAlignment="1">
      <alignment horizontal="center" vertical="center"/>
    </xf>
    <xf numFmtId="0" fontId="16" fillId="0" borderId="10" xfId="3" applyFont="1" applyFill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6" borderId="4" xfId="3" applyFont="1" applyFill="1" applyBorder="1" applyAlignment="1">
      <alignment vertical="center"/>
    </xf>
    <xf numFmtId="3" fontId="3" fillId="6" borderId="4" xfId="3" applyNumberFormat="1" applyFont="1" applyFill="1" applyBorder="1" applyAlignment="1">
      <alignment vertical="center"/>
    </xf>
    <xf numFmtId="3" fontId="3" fillId="6" borderId="18" xfId="3" applyNumberFormat="1" applyFont="1" applyFill="1" applyBorder="1" applyAlignment="1">
      <alignment vertical="center"/>
    </xf>
    <xf numFmtId="3" fontId="3" fillId="6" borderId="10" xfId="3" applyNumberFormat="1" applyFont="1" applyFill="1" applyBorder="1" applyAlignment="1">
      <alignment vertical="center"/>
    </xf>
    <xf numFmtId="3" fontId="12" fillId="6" borderId="4" xfId="3" applyNumberFormat="1" applyFont="1" applyFill="1" applyBorder="1" applyAlignment="1">
      <alignment vertical="center"/>
    </xf>
    <xf numFmtId="4" fontId="8" fillId="6" borderId="20" xfId="3" applyNumberFormat="1" applyFont="1" applyFill="1" applyBorder="1" applyAlignment="1">
      <alignment horizontal="right" vertical="center"/>
    </xf>
    <xf numFmtId="3" fontId="4" fillId="0" borderId="4" xfId="3" applyNumberFormat="1" applyFont="1" applyBorder="1" applyAlignment="1">
      <alignment vertical="center"/>
    </xf>
    <xf numFmtId="3" fontId="4" fillId="0" borderId="18" xfId="3" applyNumberFormat="1" applyFont="1" applyBorder="1" applyAlignment="1">
      <alignment vertical="center"/>
    </xf>
    <xf numFmtId="3" fontId="4" fillId="0" borderId="10" xfId="3" applyNumberFormat="1" applyFont="1" applyBorder="1" applyAlignment="1">
      <alignment vertical="center"/>
    </xf>
    <xf numFmtId="3" fontId="6" fillId="6" borderId="4" xfId="3" applyNumberFormat="1" applyFont="1" applyFill="1" applyBorder="1" applyAlignment="1">
      <alignment vertical="center"/>
    </xf>
    <xf numFmtId="4" fontId="4" fillId="0" borderId="20" xfId="3" applyNumberFormat="1" applyFont="1" applyBorder="1" applyAlignment="1">
      <alignment horizontal="right" vertical="center"/>
    </xf>
    <xf numFmtId="0" fontId="4" fillId="0" borderId="4" xfId="3" applyFont="1" applyFill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4" fillId="0" borderId="4" xfId="3" applyFont="1" applyBorder="1" applyAlignment="1">
      <alignment vertical="center"/>
    </xf>
    <xf numFmtId="0" fontId="24" fillId="0" borderId="4" xfId="3" applyFont="1" applyBorder="1" applyAlignment="1">
      <alignment vertical="center" wrapText="1"/>
    </xf>
    <xf numFmtId="0" fontId="2" fillId="0" borderId="4" xfId="3" applyFill="1" applyBorder="1" applyAlignment="1">
      <alignment vertical="center"/>
    </xf>
    <xf numFmtId="3" fontId="4" fillId="0" borderId="4" xfId="3" applyNumberFormat="1" applyFont="1" applyFill="1" applyBorder="1" applyAlignment="1">
      <alignment vertical="center"/>
    </xf>
    <xf numFmtId="3" fontId="4" fillId="0" borderId="18" xfId="3" applyNumberFormat="1" applyFont="1" applyFill="1" applyBorder="1" applyAlignment="1">
      <alignment vertical="center"/>
    </xf>
    <xf numFmtId="3" fontId="4" fillId="0" borderId="10" xfId="3" applyNumberFormat="1" applyFont="1" applyFill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0" fontId="24" fillId="0" borderId="4" xfId="3" applyFont="1" applyFill="1" applyBorder="1" applyAlignment="1">
      <alignment vertical="center"/>
    </xf>
    <xf numFmtId="3" fontId="24" fillId="0" borderId="4" xfId="3" applyNumberFormat="1" applyFont="1" applyFill="1" applyBorder="1" applyAlignment="1">
      <alignment vertical="center"/>
    </xf>
    <xf numFmtId="3" fontId="24" fillId="0" borderId="18" xfId="3" applyNumberFormat="1" applyFont="1" applyFill="1" applyBorder="1" applyAlignment="1">
      <alignment vertical="center"/>
    </xf>
    <xf numFmtId="3" fontId="24" fillId="0" borderId="10" xfId="3" applyNumberFormat="1" applyFont="1" applyFill="1" applyBorder="1" applyAlignment="1">
      <alignment vertical="center"/>
    </xf>
    <xf numFmtId="3" fontId="4" fillId="0" borderId="4" xfId="3" applyNumberFormat="1" applyFont="1" applyFill="1" applyBorder="1" applyAlignment="1" applyProtection="1">
      <alignment vertical="center"/>
      <protection locked="0"/>
    </xf>
    <xf numFmtId="3" fontId="4" fillId="0" borderId="18" xfId="3" applyNumberFormat="1" applyFont="1" applyFill="1" applyBorder="1" applyAlignment="1" applyProtection="1">
      <alignment vertical="center"/>
      <protection locked="0"/>
    </xf>
    <xf numFmtId="3" fontId="4" fillId="0" borderId="10" xfId="3" applyNumberFormat="1" applyFont="1" applyFill="1" applyBorder="1" applyAlignment="1" applyProtection="1">
      <alignment vertical="center"/>
      <protection locked="0"/>
    </xf>
    <xf numFmtId="3" fontId="6" fillId="6" borderId="4" xfId="3" applyNumberFormat="1" applyFont="1" applyFill="1" applyBorder="1" applyAlignment="1" applyProtection="1">
      <alignment vertical="center"/>
      <protection locked="0"/>
    </xf>
    <xf numFmtId="3" fontId="24" fillId="0" borderId="4" xfId="3" applyNumberFormat="1" applyFont="1" applyFill="1" applyBorder="1" applyAlignment="1" applyProtection="1">
      <alignment vertical="center"/>
      <protection locked="0"/>
    </xf>
    <xf numFmtId="3" fontId="24" fillId="0" borderId="18" xfId="3" applyNumberFormat="1" applyFont="1" applyFill="1" applyBorder="1" applyAlignment="1" applyProtection="1">
      <alignment vertical="center"/>
      <protection locked="0"/>
    </xf>
    <xf numFmtId="3" fontId="24" fillId="0" borderId="10" xfId="3" applyNumberFormat="1" applyFont="1" applyFill="1" applyBorder="1" applyAlignment="1" applyProtection="1">
      <alignment vertical="center"/>
      <protection locked="0"/>
    </xf>
    <xf numFmtId="3" fontId="30" fillId="6" borderId="4" xfId="3" applyNumberFormat="1" applyFont="1" applyFill="1" applyBorder="1" applyAlignment="1" applyProtection="1">
      <alignment vertical="center"/>
      <protection locked="0"/>
    </xf>
    <xf numFmtId="0" fontId="24" fillId="0" borderId="4" xfId="12" applyFont="1" applyFill="1" applyBorder="1" applyAlignment="1">
      <alignment vertical="center"/>
    </xf>
    <xf numFmtId="3" fontId="24" fillId="0" borderId="4" xfId="12" applyNumberFormat="1" applyFont="1" applyBorder="1" applyAlignment="1">
      <alignment vertical="center"/>
    </xf>
    <xf numFmtId="3" fontId="24" fillId="0" borderId="18" xfId="12" applyNumberFormat="1" applyFont="1" applyBorder="1" applyAlignment="1">
      <alignment vertical="center"/>
    </xf>
    <xf numFmtId="3" fontId="24" fillId="0" borderId="10" xfId="12" applyNumberFormat="1" applyFont="1" applyBorder="1" applyAlignment="1">
      <alignment vertical="center"/>
    </xf>
    <xf numFmtId="3" fontId="30" fillId="6" borderId="4" xfId="12" applyNumberFormat="1" applyFont="1" applyFill="1" applyBorder="1" applyAlignment="1">
      <alignment vertical="center"/>
    </xf>
    <xf numFmtId="4" fontId="24" fillId="0" borderId="20" xfId="12" applyNumberFormat="1" applyFont="1" applyBorder="1" applyAlignment="1">
      <alignment horizontal="right" vertical="center"/>
    </xf>
    <xf numFmtId="3" fontId="2" fillId="0" borderId="4" xfId="3" applyNumberFormat="1" applyFill="1" applyBorder="1" applyAlignment="1">
      <alignment vertical="center"/>
    </xf>
    <xf numFmtId="3" fontId="2" fillId="0" borderId="18" xfId="3" applyNumberFormat="1" applyFill="1" applyBorder="1" applyAlignment="1">
      <alignment vertical="center"/>
    </xf>
    <xf numFmtId="3" fontId="2" fillId="0" borderId="10" xfId="3" applyNumberFormat="1" applyFill="1" applyBorder="1" applyAlignment="1">
      <alignment vertical="center"/>
    </xf>
    <xf numFmtId="3" fontId="2" fillId="0" borderId="4" xfId="3" applyNumberFormat="1" applyFont="1" applyFill="1" applyBorder="1" applyAlignment="1">
      <alignment vertical="center"/>
    </xf>
    <xf numFmtId="3" fontId="2" fillId="0" borderId="18" xfId="3" applyNumberFormat="1" applyFont="1" applyFill="1" applyBorder="1" applyAlignment="1">
      <alignment vertical="center"/>
    </xf>
    <xf numFmtId="3" fontId="2" fillId="0" borderId="10" xfId="3" applyNumberFormat="1" applyFont="1" applyFill="1" applyBorder="1" applyAlignment="1">
      <alignment vertical="center"/>
    </xf>
    <xf numFmtId="0" fontId="24" fillId="0" borderId="12" xfId="3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" fillId="0" borderId="4" xfId="3" applyFont="1" applyFill="1" applyBorder="1" applyAlignment="1">
      <alignment vertical="center" wrapText="1"/>
    </xf>
    <xf numFmtId="0" fontId="24" fillId="0" borderId="4" xfId="3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3" fontId="2" fillId="0" borderId="4" xfId="3" applyNumberFormat="1" applyFont="1" applyBorder="1" applyAlignment="1">
      <alignment vertical="center"/>
    </xf>
    <xf numFmtId="3" fontId="2" fillId="0" borderId="18" xfId="3" applyNumberFormat="1" applyFont="1" applyBorder="1" applyAlignment="1">
      <alignment vertical="center"/>
    </xf>
    <xf numFmtId="3" fontId="2" fillId="0" borderId="10" xfId="3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3" fillId="0" borderId="4" xfId="3" applyFont="1" applyBorder="1" applyAlignment="1">
      <alignment vertical="center"/>
    </xf>
    <xf numFmtId="3" fontId="3" fillId="0" borderId="4" xfId="3" applyNumberFormat="1" applyFont="1" applyBorder="1" applyAlignment="1">
      <alignment vertical="center"/>
    </xf>
    <xf numFmtId="3" fontId="3" fillId="0" borderId="18" xfId="3" applyNumberFormat="1" applyFont="1" applyBorder="1" applyAlignment="1">
      <alignment vertical="center"/>
    </xf>
    <xf numFmtId="3" fontId="3" fillId="0" borderId="10" xfId="3" applyNumberFormat="1" applyFont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3" applyFont="1" applyFill="1" applyBorder="1" applyAlignment="1">
      <alignment vertical="center"/>
    </xf>
    <xf numFmtId="0" fontId="10" fillId="0" borderId="4" xfId="3" applyFont="1" applyFill="1" applyBorder="1" applyAlignment="1">
      <alignment vertical="center"/>
    </xf>
    <xf numFmtId="3" fontId="2" fillId="0" borderId="4" xfId="3" applyNumberFormat="1" applyBorder="1" applyAlignment="1">
      <alignment vertical="center"/>
    </xf>
    <xf numFmtId="3" fontId="2" fillId="0" borderId="18" xfId="3" applyNumberFormat="1" applyBorder="1" applyAlignment="1">
      <alignment vertical="center"/>
    </xf>
    <xf numFmtId="3" fontId="2" fillId="0" borderId="10" xfId="3" applyNumberForma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16" fillId="0" borderId="10" xfId="3" applyFont="1" applyBorder="1" applyAlignment="1" applyProtection="1">
      <alignment horizontal="center" vertical="center"/>
      <protection locked="0"/>
    </xf>
    <xf numFmtId="0" fontId="17" fillId="6" borderId="10" xfId="3" applyFont="1" applyFill="1" applyBorder="1" applyAlignment="1" applyProtection="1">
      <alignment horizontal="center" vertical="center"/>
      <protection locked="0"/>
    </xf>
    <xf numFmtId="0" fontId="29" fillId="0" borderId="10" xfId="3" applyFont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vertical="center"/>
    </xf>
    <xf numFmtId="3" fontId="21" fillId="6" borderId="4" xfId="0" applyNumberFormat="1" applyFont="1" applyFill="1" applyBorder="1" applyAlignment="1">
      <alignment vertical="center"/>
    </xf>
    <xf numFmtId="4" fontId="21" fillId="6" borderId="18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3" fontId="8" fillId="6" borderId="8" xfId="0" applyNumberFormat="1" applyFont="1" applyFill="1" applyBorder="1" applyAlignment="1">
      <alignment vertical="center"/>
    </xf>
    <xf numFmtId="3" fontId="21" fillId="6" borderId="8" xfId="0" applyNumberFormat="1" applyFont="1" applyFill="1" applyBorder="1" applyAlignment="1">
      <alignment vertical="center"/>
    </xf>
    <xf numFmtId="4" fontId="8" fillId="6" borderId="18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21" fillId="0" borderId="8" xfId="0" applyNumberFormat="1" applyFont="1" applyBorder="1" applyAlignment="1">
      <alignment vertical="center"/>
    </xf>
    <xf numFmtId="4" fontId="8" fillId="0" borderId="18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44" fillId="0" borderId="4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31" fillId="0" borderId="8" xfId="0" applyNumberFormat="1" applyFont="1" applyBorder="1" applyAlignment="1">
      <alignment vertical="center"/>
    </xf>
    <xf numFmtId="4" fontId="1" fillId="0" borderId="1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31" fillId="0" borderId="8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21" fillId="0" borderId="8" xfId="0" applyNumberFormat="1" applyFont="1" applyFill="1" applyBorder="1" applyAlignment="1">
      <alignment vertical="center"/>
    </xf>
    <xf numFmtId="0" fontId="45" fillId="0" borderId="4" xfId="0" applyFont="1" applyFill="1" applyBorder="1" applyAlignment="1">
      <alignment vertical="center" wrapText="1"/>
    </xf>
    <xf numFmtId="0" fontId="45" fillId="0" borderId="4" xfId="0" applyFont="1" applyBorder="1" applyAlignment="1">
      <alignment vertical="center"/>
    </xf>
    <xf numFmtId="0" fontId="44" fillId="0" borderId="4" xfId="0" applyFont="1" applyBorder="1" applyAlignment="1">
      <alignment vertical="center" wrapText="1"/>
    </xf>
    <xf numFmtId="0" fontId="24" fillId="0" borderId="3" xfId="0" applyFont="1" applyBorder="1" applyAlignment="1">
      <alignment horizontal="right" vertical="center"/>
    </xf>
    <xf numFmtId="0" fontId="46" fillId="0" borderId="4" xfId="0" applyFont="1" applyBorder="1" applyAlignment="1">
      <alignment vertical="center"/>
    </xf>
    <xf numFmtId="3" fontId="24" fillId="0" borderId="8" xfId="0" applyNumberFormat="1" applyFont="1" applyFill="1" applyBorder="1" applyAlignment="1">
      <alignment vertical="center"/>
    </xf>
    <xf numFmtId="3" fontId="39" fillId="0" borderId="8" xfId="0" applyNumberFormat="1" applyFont="1" applyFill="1" applyBorder="1" applyAlignment="1">
      <alignment vertical="center"/>
    </xf>
    <xf numFmtId="4" fontId="24" fillId="0" borderId="18" xfId="0" applyNumberFormat="1" applyFont="1" applyFill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44" fillId="0" borderId="12" xfId="0" applyFont="1" applyBorder="1" applyAlignment="1">
      <alignment vertical="center"/>
    </xf>
    <xf numFmtId="3" fontId="1" fillId="0" borderId="27" xfId="0" applyNumberFormat="1" applyFont="1" applyFill="1" applyBorder="1" applyAlignment="1">
      <alignment vertical="center"/>
    </xf>
    <xf numFmtId="3" fontId="31" fillId="0" borderId="27" xfId="0" applyNumberFormat="1" applyFont="1" applyFill="1" applyBorder="1" applyAlignment="1">
      <alignment vertical="center"/>
    </xf>
    <xf numFmtId="4" fontId="1" fillId="0" borderId="28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6" borderId="4" xfId="1" applyNumberFormat="1" applyFont="1" applyFill="1" applyBorder="1" applyAlignment="1">
      <alignment vertical="center" wrapText="1"/>
    </xf>
    <xf numFmtId="4" fontId="22" fillId="0" borderId="18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0" fontId="47" fillId="0" borderId="4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32" fillId="0" borderId="8" xfId="0" applyNumberFormat="1" applyFont="1" applyFill="1" applyBorder="1" applyAlignment="1">
      <alignment vertical="center"/>
    </xf>
    <xf numFmtId="0" fontId="46" fillId="0" borderId="4" xfId="0" applyFont="1" applyFill="1" applyBorder="1" applyAlignment="1">
      <alignment vertical="center" wrapText="1"/>
    </xf>
    <xf numFmtId="4" fontId="24" fillId="0" borderId="18" xfId="0" applyNumberFormat="1" applyFont="1" applyBorder="1" applyAlignment="1">
      <alignment vertical="center"/>
    </xf>
    <xf numFmtId="0" fontId="47" fillId="0" borderId="4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4" fontId="1" fillId="0" borderId="28" xfId="0" applyNumberFormat="1" applyFont="1" applyFill="1" applyBorder="1" applyAlignment="1">
      <alignment vertical="center"/>
    </xf>
    <xf numFmtId="4" fontId="23" fillId="0" borderId="18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4" fontId="21" fillId="0" borderId="18" xfId="0" applyNumberFormat="1" applyFont="1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3" fontId="38" fillId="0" borderId="8" xfId="0" applyNumberFormat="1" applyFont="1" applyBorder="1" applyAlignment="1">
      <alignment vertical="center"/>
    </xf>
    <xf numFmtId="3" fontId="41" fillId="0" borderId="8" xfId="0" applyNumberFormat="1" applyFont="1" applyBorder="1" applyAlignment="1">
      <alignment vertical="center"/>
    </xf>
    <xf numFmtId="0" fontId="15" fillId="6" borderId="3" xfId="0" applyFont="1" applyFill="1" applyBorder="1" applyAlignment="1">
      <alignment horizontal="center" vertical="center"/>
    </xf>
    <xf numFmtId="0" fontId="46" fillId="0" borderId="4" xfId="11" applyFont="1" applyFill="1" applyBorder="1" applyAlignment="1">
      <alignment vertical="center" wrapText="1"/>
    </xf>
    <xf numFmtId="3" fontId="24" fillId="0" borderId="8" xfId="0" applyNumberFormat="1" applyFont="1" applyBorder="1" applyAlignment="1">
      <alignment vertical="center"/>
    </xf>
    <xf numFmtId="3" fontId="39" fillId="0" borderId="8" xfId="0" applyNumberFormat="1" applyFont="1" applyBorder="1" applyAlignment="1">
      <alignment vertical="center"/>
    </xf>
    <xf numFmtId="0" fontId="24" fillId="0" borderId="4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4" fontId="22" fillId="6" borderId="18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4" fontId="1" fillId="0" borderId="31" xfId="0" applyNumberFormat="1" applyFont="1" applyBorder="1" applyAlignment="1">
      <alignment vertical="center"/>
    </xf>
    <xf numFmtId="3" fontId="8" fillId="6" borderId="30" xfId="0" applyNumberFormat="1" applyFont="1" applyFill="1" applyBorder="1" applyAlignment="1">
      <alignment vertical="center"/>
    </xf>
    <xf numFmtId="3" fontId="21" fillId="6" borderId="30" xfId="0" applyNumberFormat="1" applyFont="1" applyFill="1" applyBorder="1" applyAlignment="1">
      <alignment vertical="center"/>
    </xf>
    <xf numFmtId="4" fontId="21" fillId="6" borderId="29" xfId="0" applyNumberFormat="1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7" borderId="0" xfId="0" applyFont="1" applyFill="1" applyAlignment="1">
      <alignment horizontal="center" wrapText="1"/>
    </xf>
    <xf numFmtId="0" fontId="0" fillId="0" borderId="0" xfId="0"/>
    <xf numFmtId="0" fontId="0" fillId="7" borderId="0" xfId="0" applyFill="1" applyAlignment="1"/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/>
    </xf>
    <xf numFmtId="0" fontId="3" fillId="6" borderId="8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1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28" fillId="0" borderId="45" xfId="0" applyFont="1" applyBorder="1" applyAlignment="1">
      <alignment horizontal="left"/>
    </xf>
    <xf numFmtId="0" fontId="28" fillId="0" borderId="46" xfId="0" applyFont="1" applyBorder="1" applyAlignment="1">
      <alignment horizontal="left"/>
    </xf>
    <xf numFmtId="0" fontId="28" fillId="0" borderId="47" xfId="0" applyFont="1" applyBorder="1" applyAlignment="1">
      <alignment horizontal="left"/>
    </xf>
    <xf numFmtId="0" fontId="28" fillId="0" borderId="53" xfId="0" applyFont="1" applyBorder="1" applyAlignment="1">
      <alignment horizontal="left"/>
    </xf>
    <xf numFmtId="0" fontId="28" fillId="0" borderId="54" xfId="0" applyFont="1" applyBorder="1" applyAlignment="1">
      <alignment horizontal="left"/>
    </xf>
    <xf numFmtId="0" fontId="28" fillId="0" borderId="55" xfId="0" applyFont="1" applyBorder="1" applyAlignment="1">
      <alignment horizontal="left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justify" wrapText="1"/>
    </xf>
    <xf numFmtId="0" fontId="8" fillId="0" borderId="3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21" fillId="6" borderId="13" xfId="0" applyFont="1" applyFill="1" applyBorder="1" applyAlignment="1">
      <alignment horizontal="right" vertical="center" wrapText="1"/>
    </xf>
    <xf numFmtId="0" fontId="21" fillId="6" borderId="33" xfId="0" applyFont="1" applyFill="1" applyBorder="1" applyAlignment="1">
      <alignment horizontal="right" vertical="center" wrapText="1"/>
    </xf>
    <xf numFmtId="166" fontId="5" fillId="0" borderId="14" xfId="1" applyNumberFormat="1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Fill="1" applyAlignment="1">
      <alignment horizontal="justify" vertical="top"/>
    </xf>
    <xf numFmtId="3" fontId="5" fillId="0" borderId="14" xfId="3" applyNumberFormat="1" applyFont="1" applyBorder="1" applyAlignment="1">
      <alignment horizontal="left"/>
    </xf>
    <xf numFmtId="3" fontId="0" fillId="0" borderId="14" xfId="0" applyNumberFormat="1" applyBorder="1" applyAlignment="1"/>
    <xf numFmtId="0" fontId="5" fillId="0" borderId="0" xfId="3" applyFont="1" applyBorder="1" applyAlignment="1">
      <alignment horizontal="left"/>
    </xf>
    <xf numFmtId="0" fontId="7" fillId="0" borderId="0" xfId="12" applyFont="1" applyAlignment="1">
      <alignment horizontal="left"/>
    </xf>
    <xf numFmtId="0" fontId="3" fillId="6" borderId="36" xfId="3" applyFon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3" fillId="6" borderId="37" xfId="3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3" fillId="6" borderId="38" xfId="3" applyFont="1" applyFill="1" applyBorder="1" applyAlignment="1">
      <alignment horizontal="center" vertical="center" textRotation="90" wrapText="1"/>
    </xf>
    <xf numFmtId="0" fontId="0" fillId="6" borderId="12" xfId="0" applyFill="1" applyBorder="1" applyAlignment="1">
      <alignment horizontal="center" vertical="center" textRotation="90" wrapText="1"/>
    </xf>
    <xf numFmtId="0" fontId="3" fillId="6" borderId="38" xfId="3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" fillId="6" borderId="38" xfId="3" applyFont="1" applyFill="1" applyBorder="1" applyAlignment="1">
      <alignment horizontal="center" vertical="center" wrapText="1"/>
    </xf>
    <xf numFmtId="0" fontId="3" fillId="6" borderId="12" xfId="3" applyFont="1" applyFill="1" applyBorder="1" applyAlignment="1">
      <alignment horizontal="center" vertical="center" wrapText="1"/>
    </xf>
    <xf numFmtId="0" fontId="3" fillId="6" borderId="39" xfId="3" applyFont="1" applyFill="1" applyBorder="1" applyAlignment="1">
      <alignment horizontal="center" vertical="center" wrapText="1"/>
    </xf>
    <xf numFmtId="0" fontId="3" fillId="6" borderId="28" xfId="3" applyFont="1" applyFill="1" applyBorder="1" applyAlignment="1">
      <alignment horizontal="center" vertical="center" wrapText="1"/>
    </xf>
    <xf numFmtId="4" fontId="3" fillId="6" borderId="39" xfId="3" applyNumberFormat="1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0" fontId="9" fillId="6" borderId="40" xfId="3" applyFont="1" applyFill="1" applyBorder="1" applyAlignment="1">
      <alignment horizontal="left" vertical="center"/>
    </xf>
    <xf numFmtId="0" fontId="9" fillId="6" borderId="41" xfId="3" applyFont="1" applyFill="1" applyBorder="1" applyAlignment="1">
      <alignment horizontal="left" vertical="center"/>
    </xf>
    <xf numFmtId="0" fontId="9" fillId="6" borderId="42" xfId="3" applyFont="1" applyFill="1" applyBorder="1" applyAlignment="1">
      <alignment horizontal="left" vertical="center"/>
    </xf>
    <xf numFmtId="0" fontId="3" fillId="0" borderId="14" xfId="3" applyFont="1" applyBorder="1" applyAlignment="1">
      <alignment horizontal="right"/>
    </xf>
    <xf numFmtId="0" fontId="9" fillId="0" borderId="57" xfId="3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37" xfId="3" applyFont="1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17" fillId="0" borderId="38" xfId="3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7" fillId="0" borderId="38" xfId="3" applyFont="1" applyFill="1" applyBorder="1" applyAlignment="1">
      <alignment horizontal="center" vertical="center" textRotation="90" wrapText="1"/>
    </xf>
    <xf numFmtId="0" fontId="8" fillId="0" borderId="38" xfId="3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3" fillId="0" borderId="38" xfId="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8" xfId="3" applyFont="1" applyFill="1" applyBorder="1" applyAlignment="1">
      <alignment horizontal="center" vertical="center" wrapText="1"/>
    </xf>
    <xf numFmtId="0" fontId="26" fillId="0" borderId="38" xfId="3" applyFont="1" applyFill="1" applyBorder="1" applyAlignment="1">
      <alignment horizontal="center" vertical="center" wrapText="1"/>
    </xf>
    <xf numFmtId="4" fontId="27" fillId="0" borderId="39" xfId="3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38" xfId="3" applyFont="1" applyFill="1" applyBorder="1" applyAlignment="1">
      <alignment horizontal="center" vertical="center" textRotation="90" wrapText="1"/>
    </xf>
    <xf numFmtId="0" fontId="37" fillId="0" borderId="36" xfId="3" applyFont="1" applyFill="1" applyBorder="1" applyAlignment="1" applyProtection="1">
      <alignment horizontal="center" vertical="center" wrapText="1"/>
      <protection locked="0"/>
    </xf>
    <xf numFmtId="0" fontId="8" fillId="0" borderId="38" xfId="3" applyFont="1" applyBorder="1" applyAlignment="1">
      <alignment horizontal="center" vertical="center" wrapText="1"/>
    </xf>
    <xf numFmtId="0" fontId="8" fillId="0" borderId="38" xfId="3" applyFont="1" applyFill="1" applyBorder="1" applyAlignment="1">
      <alignment horizontal="center" vertical="center" wrapText="1"/>
    </xf>
    <xf numFmtId="0" fontId="27" fillId="0" borderId="39" xfId="3" applyFont="1" applyFill="1" applyBorder="1" applyAlignment="1">
      <alignment horizontal="center" vertical="center" wrapText="1"/>
    </xf>
    <xf numFmtId="0" fontId="27" fillId="0" borderId="38" xfId="3" applyFont="1" applyFill="1" applyBorder="1" applyAlignment="1">
      <alignment horizontal="center" vertical="center" textRotation="90" wrapText="1"/>
    </xf>
    <xf numFmtId="0" fontId="37" fillId="0" borderId="57" xfId="3" applyFont="1" applyFill="1" applyBorder="1" applyAlignment="1" applyProtection="1">
      <alignment horizontal="center" vertical="center" wrapText="1"/>
      <protection locked="0"/>
    </xf>
    <xf numFmtId="0" fontId="3" fillId="0" borderId="38" xfId="3" applyFont="1" applyBorder="1" applyAlignment="1">
      <alignment horizontal="center" vertical="center" textRotation="90" wrapText="1"/>
    </xf>
    <xf numFmtId="0" fontId="3" fillId="0" borderId="38" xfId="3" applyFont="1" applyFill="1" applyBorder="1" applyAlignment="1">
      <alignment horizontal="center" vertical="center" textRotation="90" wrapText="1"/>
    </xf>
    <xf numFmtId="0" fontId="27" fillId="0" borderId="38" xfId="3" applyFont="1" applyFill="1" applyBorder="1" applyAlignment="1">
      <alignment horizontal="center" vertical="center" wrapText="1"/>
    </xf>
    <xf numFmtId="0" fontId="8" fillId="0" borderId="56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7" fillId="0" borderId="57" xfId="3" applyFont="1" applyFill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1" xfId="0" applyBorder="1" applyAlignment="1"/>
    <xf numFmtId="0" fontId="0" fillId="0" borderId="42" xfId="0" applyBorder="1" applyAlignment="1"/>
    <xf numFmtId="0" fontId="14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justify" vertical="top"/>
    </xf>
    <xf numFmtId="0" fontId="0" fillId="0" borderId="0" xfId="0" applyFill="1" applyAlignment="1">
      <alignment horizontal="justify" wrapText="1"/>
    </xf>
    <xf numFmtId="0" fontId="0" fillId="0" borderId="0" xfId="0" applyFill="1" applyAlignment="1">
      <alignment horizontal="justify"/>
    </xf>
    <xf numFmtId="0" fontId="0" fillId="0" borderId="0" xfId="0" applyFill="1" applyAlignment="1"/>
    <xf numFmtId="0" fontId="1" fillId="0" borderId="0" xfId="0" applyFont="1" applyAlignment="1">
      <alignment horizontal="center"/>
    </xf>
  </cellXfs>
  <cellStyles count="15">
    <cellStyle name="Comma_izvrsenje300903-s planom 2" xfId="1"/>
    <cellStyle name="Loše" xfId="2" builtinId="27"/>
    <cellStyle name="Normal_sablon1-230704" xfId="3"/>
    <cellStyle name="Normal_sablon1-230704 2" xfId="4"/>
    <cellStyle name="Normal_sablon1-230704 2 2 2" xfId="12"/>
    <cellStyle name="Obično" xfId="0" builtinId="0"/>
    <cellStyle name="Obično 2" xfId="7"/>
    <cellStyle name="Obično 2 2" xfId="11"/>
    <cellStyle name="Obično 3" xfId="9"/>
    <cellStyle name="Postotak" xfId="5" builtinId="5"/>
    <cellStyle name="Zarez" xfId="14" builtinId="3"/>
    <cellStyle name="Zarez 2" xfId="6"/>
    <cellStyle name="Zarez 2 2" xfId="8"/>
    <cellStyle name="Zarez 2 2 2" xfId="13"/>
    <cellStyle name="Zarez 2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105704</xdr:rowOff>
    </xdr:from>
    <xdr:to>
      <xdr:col>7</xdr:col>
      <xdr:colOff>495694</xdr:colOff>
      <xdr:row>7</xdr:row>
      <xdr:rowOff>91836</xdr:rowOff>
    </xdr:to>
    <xdr:pic>
      <xdr:nvPicPr>
        <xdr:cNvPr id="5" name="Slika 4" descr="logo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6700" y="105704"/>
          <a:ext cx="952894" cy="111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J30" sqref="J30"/>
    </sheetView>
  </sheetViews>
  <sheetFormatPr defaultRowHeight="12.75"/>
  <cols>
    <col min="1" max="14" width="9.7109375" customWidth="1"/>
  </cols>
  <sheetData>
    <row r="1" spans="1:14">
      <c r="A1" s="825"/>
      <c r="B1" s="825"/>
      <c r="C1" s="825"/>
      <c r="D1" s="825"/>
      <c r="E1" s="825"/>
      <c r="F1" s="825"/>
      <c r="G1" s="825"/>
      <c r="H1" s="825"/>
      <c r="I1" s="825"/>
    </row>
    <row r="2" spans="1:14" ht="12.75" customHeight="1">
      <c r="B2" s="281"/>
      <c r="C2" s="282"/>
      <c r="D2" s="826" t="s">
        <v>577</v>
      </c>
      <c r="E2" s="827"/>
      <c r="F2" s="827"/>
      <c r="I2" s="826" t="s">
        <v>576</v>
      </c>
      <c r="J2" s="832"/>
      <c r="K2" s="832"/>
    </row>
    <row r="3" spans="1:14">
      <c r="B3" s="282"/>
      <c r="C3" s="282"/>
      <c r="D3" s="827"/>
      <c r="E3" s="827"/>
      <c r="F3" s="827"/>
      <c r="I3" s="832"/>
      <c r="J3" s="832"/>
      <c r="K3" s="832"/>
    </row>
    <row r="4" spans="1:14">
      <c r="B4" s="282"/>
      <c r="C4" s="282"/>
      <c r="D4" s="827"/>
      <c r="E4" s="827"/>
      <c r="F4" s="827"/>
      <c r="I4" s="832"/>
      <c r="J4" s="832"/>
      <c r="K4" s="832"/>
    </row>
    <row r="5" spans="1:14">
      <c r="B5" s="282"/>
      <c r="C5" s="282"/>
      <c r="D5" s="827"/>
      <c r="E5" s="827"/>
      <c r="F5" s="827"/>
      <c r="I5" s="832"/>
      <c r="J5" s="832"/>
      <c r="K5" s="832"/>
    </row>
    <row r="6" spans="1:14">
      <c r="B6" s="282"/>
      <c r="C6" s="282"/>
      <c r="D6" s="827"/>
      <c r="E6" s="827"/>
      <c r="F6" s="827"/>
      <c r="I6" s="832"/>
      <c r="J6" s="832"/>
      <c r="K6" s="832"/>
    </row>
    <row r="7" spans="1:14">
      <c r="B7" s="282"/>
      <c r="C7" s="282"/>
      <c r="D7" s="827"/>
      <c r="E7" s="827"/>
      <c r="F7" s="827"/>
      <c r="I7" s="832"/>
      <c r="J7" s="832"/>
      <c r="K7" s="832"/>
    </row>
    <row r="8" spans="1:14" ht="13.5" thickBot="1">
      <c r="A8" s="361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</row>
    <row r="9" spans="1:14" ht="13.5" thickTop="1"/>
    <row r="12" spans="1:14" ht="18">
      <c r="L12" s="833" t="s">
        <v>839</v>
      </c>
      <c r="M12" s="833"/>
      <c r="N12" s="833"/>
    </row>
    <row r="15" spans="1:14" ht="12.75" customHeight="1">
      <c r="A15" s="828" t="s">
        <v>840</v>
      </c>
      <c r="B15" s="829"/>
      <c r="C15" s="829"/>
      <c r="D15" s="829"/>
      <c r="E15" s="829"/>
      <c r="F15" s="829"/>
      <c r="G15" s="829"/>
      <c r="H15" s="829"/>
      <c r="I15" s="829"/>
      <c r="J15" s="829"/>
      <c r="K15" s="829"/>
      <c r="L15" s="830"/>
      <c r="M15" s="830"/>
      <c r="N15" s="830"/>
    </row>
    <row r="16" spans="1:14">
      <c r="A16" s="829"/>
      <c r="B16" s="829"/>
      <c r="C16" s="829"/>
      <c r="D16" s="829"/>
      <c r="E16" s="829"/>
      <c r="F16" s="829"/>
      <c r="G16" s="829"/>
      <c r="H16" s="829"/>
      <c r="I16" s="829"/>
      <c r="J16" s="829"/>
      <c r="K16" s="829"/>
      <c r="L16" s="830"/>
      <c r="M16" s="830"/>
      <c r="N16" s="830"/>
    </row>
    <row r="17" spans="1:14">
      <c r="A17" s="829"/>
      <c r="B17" s="829"/>
      <c r="C17" s="829"/>
      <c r="D17" s="829"/>
      <c r="E17" s="829"/>
      <c r="F17" s="829"/>
      <c r="G17" s="829"/>
      <c r="H17" s="829"/>
      <c r="I17" s="829"/>
      <c r="J17" s="829"/>
      <c r="K17" s="829"/>
      <c r="L17" s="830"/>
      <c r="M17" s="830"/>
      <c r="N17" s="830"/>
    </row>
    <row r="18" spans="1:14">
      <c r="A18" s="829"/>
      <c r="B18" s="829"/>
      <c r="C18" s="829"/>
      <c r="D18" s="829"/>
      <c r="E18" s="829"/>
      <c r="F18" s="829"/>
      <c r="G18" s="829"/>
      <c r="H18" s="829"/>
      <c r="I18" s="829"/>
      <c r="J18" s="829"/>
      <c r="K18" s="829"/>
      <c r="L18" s="830"/>
      <c r="M18" s="830"/>
      <c r="N18" s="830"/>
    </row>
    <row r="19" spans="1:14">
      <c r="A19" s="829"/>
      <c r="B19" s="829"/>
      <c r="C19" s="829"/>
      <c r="D19" s="829"/>
      <c r="E19" s="829"/>
      <c r="F19" s="829"/>
      <c r="G19" s="829"/>
      <c r="H19" s="829"/>
      <c r="I19" s="829"/>
      <c r="J19" s="829"/>
      <c r="K19" s="829"/>
      <c r="L19" s="830"/>
      <c r="M19" s="830"/>
      <c r="N19" s="830"/>
    </row>
    <row r="20" spans="1:14" ht="13.5" customHeight="1">
      <c r="A20" s="829"/>
      <c r="B20" s="829"/>
      <c r="C20" s="829"/>
      <c r="D20" s="829"/>
      <c r="E20" s="829"/>
      <c r="F20" s="829"/>
      <c r="G20" s="829"/>
      <c r="H20" s="829"/>
      <c r="I20" s="829"/>
      <c r="J20" s="829"/>
      <c r="K20" s="829"/>
      <c r="L20" s="830"/>
      <c r="M20" s="830"/>
      <c r="N20" s="830"/>
    </row>
    <row r="33" spans="1:14" s="298" customFormat="1"/>
    <row r="36" spans="1:14" s="298" customFormat="1"/>
    <row r="38" spans="1:14">
      <c r="A38" s="831" t="s">
        <v>841</v>
      </c>
      <c r="B38" s="825"/>
      <c r="C38" s="825"/>
      <c r="D38" s="825"/>
      <c r="E38" s="825"/>
      <c r="F38" s="825"/>
      <c r="G38" s="825"/>
      <c r="H38" s="825"/>
      <c r="I38" s="825"/>
      <c r="J38" s="825"/>
      <c r="K38" s="825"/>
      <c r="L38" s="825"/>
      <c r="M38" s="825"/>
      <c r="N38" s="825"/>
    </row>
    <row r="39" spans="1:14">
      <c r="A39" s="825"/>
      <c r="B39" s="825"/>
      <c r="C39" s="825"/>
      <c r="D39" s="825"/>
      <c r="E39" s="825"/>
      <c r="F39" s="825"/>
      <c r="G39" s="825"/>
      <c r="H39" s="825"/>
      <c r="I39" s="825"/>
      <c r="J39" s="825"/>
      <c r="K39" s="825"/>
      <c r="L39" s="825"/>
      <c r="M39" s="825"/>
      <c r="N39" s="825"/>
    </row>
    <row r="40" spans="1:14" ht="15.75">
      <c r="A40" s="62"/>
      <c r="B40" s="62"/>
      <c r="C40" s="62"/>
      <c r="D40" s="62"/>
      <c r="E40" s="62"/>
      <c r="F40" s="62"/>
      <c r="G40" s="62"/>
      <c r="H40" s="62"/>
      <c r="I40" s="62"/>
    </row>
  </sheetData>
  <mergeCells count="6">
    <mergeCell ref="A1:I1"/>
    <mergeCell ref="D2:F7"/>
    <mergeCell ref="A15:N20"/>
    <mergeCell ref="A38:N39"/>
    <mergeCell ref="I2:K7"/>
    <mergeCell ref="L12:N12"/>
  </mergeCells>
  <phoneticPr fontId="0" type="noConversion"/>
  <pageMargins left="0.6692913385826772" right="0.43307086614173229" top="0.5" bottom="0.76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425781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647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111</v>
      </c>
      <c r="C7" s="7" t="s">
        <v>80</v>
      </c>
      <c r="D7" s="7" t="s">
        <v>114</v>
      </c>
      <c r="E7" s="459" t="s">
        <v>723</v>
      </c>
      <c r="F7" s="5"/>
      <c r="G7" s="167"/>
      <c r="H7" s="5"/>
      <c r="I7" s="5"/>
      <c r="J7" s="5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35">
        <f t="shared" ref="I8" si="0">SUM(I9:I12)</f>
        <v>57990</v>
      </c>
      <c r="J8" s="235">
        <f t="shared" ref="J8" si="1">SUM(J9:J12)</f>
        <v>57990</v>
      </c>
      <c r="K8" s="532">
        <f>SUM(K9:K12)</f>
        <v>61980</v>
      </c>
      <c r="L8" s="244">
        <f>SUM(L9:L12)</f>
        <v>0</v>
      </c>
      <c r="M8" s="261">
        <f>SUM(M9:M12)</f>
        <v>61980</v>
      </c>
      <c r="N8" s="217">
        <f t="shared" ref="N8:N31" si="2">IF(J8=0,"",M8/J8*100)</f>
        <v>106.88049663735126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38">
        <v>51240</v>
      </c>
      <c r="J9" s="238">
        <v>51240</v>
      </c>
      <c r="K9" s="388">
        <f>53330+200</f>
        <v>53530</v>
      </c>
      <c r="L9" s="243">
        <v>0</v>
      </c>
      <c r="M9" s="262">
        <f>SUM(K9:L9)</f>
        <v>53530</v>
      </c>
      <c r="N9" s="218">
        <f t="shared" si="2"/>
        <v>104.46916471506636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38">
        <v>6750</v>
      </c>
      <c r="J10" s="238">
        <v>6750</v>
      </c>
      <c r="K10" s="388">
        <f>6350+100+2000</f>
        <v>8450</v>
      </c>
      <c r="L10" s="243">
        <v>0</v>
      </c>
      <c r="M10" s="262">
        <f t="shared" ref="M10:M11" si="3">SUM(K10:L10)</f>
        <v>8450</v>
      </c>
      <c r="N10" s="218">
        <f t="shared" si="2"/>
        <v>125.18518518518518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38">
        <v>0</v>
      </c>
      <c r="J11" s="238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8.1" customHeight="1">
      <c r="B12" s="10"/>
      <c r="C12" s="11"/>
      <c r="D12" s="11"/>
      <c r="E12" s="170"/>
      <c r="F12" s="184"/>
      <c r="G12" s="203"/>
      <c r="H12" s="472"/>
      <c r="I12" s="238"/>
      <c r="J12" s="238"/>
      <c r="K12" s="388"/>
      <c r="L12" s="243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35">
        <f t="shared" ref="I13:J13" si="4">I14</f>
        <v>5450</v>
      </c>
      <c r="J13" s="235">
        <f t="shared" si="4"/>
        <v>5450</v>
      </c>
      <c r="K13" s="532">
        <f>K14</f>
        <v>5660</v>
      </c>
      <c r="L13" s="244">
        <f>L14</f>
        <v>0</v>
      </c>
      <c r="M13" s="261">
        <f>M14</f>
        <v>5660</v>
      </c>
      <c r="N13" s="217">
        <f t="shared" si="2"/>
        <v>103.8532110091743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38">
        <v>5450</v>
      </c>
      <c r="J14" s="238">
        <v>5450</v>
      </c>
      <c r="K14" s="388">
        <f>5610+50</f>
        <v>5660</v>
      </c>
      <c r="L14" s="243">
        <v>0</v>
      </c>
      <c r="M14" s="262">
        <f>SUM(K14:L14)</f>
        <v>5660</v>
      </c>
      <c r="N14" s="218">
        <f t="shared" si="2"/>
        <v>103.8532110091743</v>
      </c>
    </row>
    <row r="15" spans="1:16" ht="8.1" customHeight="1">
      <c r="B15" s="10"/>
      <c r="C15" s="11"/>
      <c r="D15" s="11"/>
      <c r="E15" s="170"/>
      <c r="F15" s="184"/>
      <c r="G15" s="203"/>
      <c r="H15" s="24"/>
      <c r="I15" s="238"/>
      <c r="J15" s="238"/>
      <c r="K15" s="389"/>
      <c r="L15" s="239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35">
        <f t="shared" ref="I16" si="5">SUM(I17:I26)</f>
        <v>350</v>
      </c>
      <c r="J16" s="235">
        <f t="shared" ref="J16" si="6">SUM(J17:J26)</f>
        <v>350</v>
      </c>
      <c r="K16" s="533">
        <f>SUM(K17:K26)</f>
        <v>800</v>
      </c>
      <c r="L16" s="242">
        <f>SUM(L17:L26)</f>
        <v>0</v>
      </c>
      <c r="M16" s="264">
        <f>SUM(M17:M26)</f>
        <v>800</v>
      </c>
      <c r="N16" s="217">
        <f t="shared" si="2"/>
        <v>228.57142857142856</v>
      </c>
    </row>
    <row r="17" spans="1:16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38">
        <v>100</v>
      </c>
      <c r="J17" s="238">
        <v>100</v>
      </c>
      <c r="K17" s="389">
        <v>300</v>
      </c>
      <c r="L17" s="239">
        <v>0</v>
      </c>
      <c r="M17" s="262">
        <f t="shared" ref="M17:M26" si="7">SUM(K17:L17)</f>
        <v>300</v>
      </c>
      <c r="N17" s="218">
        <f t="shared" si="2"/>
        <v>300</v>
      </c>
    </row>
    <row r="18" spans="1:16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38">
        <v>0</v>
      </c>
      <c r="J18" s="238">
        <v>0</v>
      </c>
      <c r="K18" s="389">
        <v>0</v>
      </c>
      <c r="L18" s="239">
        <v>0</v>
      </c>
      <c r="M18" s="262">
        <f t="shared" si="7"/>
        <v>0</v>
      </c>
      <c r="N18" s="218" t="str">
        <f t="shared" si="2"/>
        <v/>
      </c>
    </row>
    <row r="19" spans="1:16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38">
        <v>0</v>
      </c>
      <c r="J19" s="238">
        <v>0</v>
      </c>
      <c r="K19" s="389">
        <v>0</v>
      </c>
      <c r="L19" s="239">
        <v>0</v>
      </c>
      <c r="M19" s="262">
        <f t="shared" si="7"/>
        <v>0</v>
      </c>
      <c r="N19" s="218" t="str">
        <f t="shared" si="2"/>
        <v/>
      </c>
    </row>
    <row r="20" spans="1:16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38">
        <v>0</v>
      </c>
      <c r="J20" s="238">
        <v>0</v>
      </c>
      <c r="K20" s="389">
        <v>0</v>
      </c>
      <c r="L20" s="239">
        <v>0</v>
      </c>
      <c r="M20" s="262">
        <f t="shared" si="7"/>
        <v>0</v>
      </c>
      <c r="N20" s="218" t="str">
        <f t="shared" si="2"/>
        <v/>
      </c>
    </row>
    <row r="21" spans="1:16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38">
        <v>0</v>
      </c>
      <c r="J21" s="238">
        <v>0</v>
      </c>
      <c r="K21" s="389">
        <v>0</v>
      </c>
      <c r="L21" s="239">
        <v>0</v>
      </c>
      <c r="M21" s="262">
        <f t="shared" si="7"/>
        <v>0</v>
      </c>
      <c r="N21" s="218" t="str">
        <f t="shared" si="2"/>
        <v/>
      </c>
    </row>
    <row r="22" spans="1:16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38">
        <v>0</v>
      </c>
      <c r="J22" s="238">
        <v>0</v>
      </c>
      <c r="K22" s="389">
        <v>0</v>
      </c>
      <c r="L22" s="239">
        <v>0</v>
      </c>
      <c r="M22" s="262">
        <f t="shared" si="7"/>
        <v>0</v>
      </c>
      <c r="N22" s="218" t="str">
        <f t="shared" si="2"/>
        <v/>
      </c>
    </row>
    <row r="23" spans="1:16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38">
        <v>0</v>
      </c>
      <c r="J23" s="238">
        <v>0</v>
      </c>
      <c r="K23" s="389">
        <v>0</v>
      </c>
      <c r="L23" s="239">
        <v>0</v>
      </c>
      <c r="M23" s="262">
        <f t="shared" si="7"/>
        <v>0</v>
      </c>
      <c r="N23" s="218" t="str">
        <f t="shared" si="2"/>
        <v/>
      </c>
    </row>
    <row r="24" spans="1:16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38">
        <v>0</v>
      </c>
      <c r="J24" s="238">
        <v>0</v>
      </c>
      <c r="K24" s="389">
        <v>0</v>
      </c>
      <c r="L24" s="239">
        <v>0</v>
      </c>
      <c r="M24" s="262">
        <f t="shared" si="7"/>
        <v>0</v>
      </c>
      <c r="N24" s="218" t="str">
        <f t="shared" si="2"/>
        <v/>
      </c>
      <c r="P24" s="45"/>
    </row>
    <row r="25" spans="1:16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38">
        <v>250</v>
      </c>
      <c r="J25" s="238">
        <v>250</v>
      </c>
      <c r="K25" s="389">
        <v>500</v>
      </c>
      <c r="L25" s="239">
        <v>0</v>
      </c>
      <c r="M25" s="262">
        <f t="shared" si="7"/>
        <v>500</v>
      </c>
      <c r="N25" s="218">
        <f t="shared" si="2"/>
        <v>200</v>
      </c>
    </row>
    <row r="26" spans="1:16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0">
        <v>0</v>
      </c>
      <c r="L26" s="241">
        <v>0</v>
      </c>
      <c r="M26" s="262">
        <f t="shared" si="7"/>
        <v>0</v>
      </c>
      <c r="N26" s="218" t="str">
        <f t="shared" si="2"/>
        <v/>
      </c>
    </row>
    <row r="27" spans="1:16" s="1" customFormat="1" ht="8.1" customHeight="1">
      <c r="A27" s="165"/>
      <c r="B27" s="12"/>
      <c r="C27" s="8"/>
      <c r="D27" s="8"/>
      <c r="E27" s="458"/>
      <c r="F27" s="194"/>
      <c r="G27" s="214"/>
      <c r="H27" s="25"/>
      <c r="I27" s="238"/>
      <c r="J27" s="238"/>
      <c r="K27" s="389"/>
      <c r="L27" s="239"/>
      <c r="M27" s="263"/>
      <c r="N27" s="218" t="str">
        <f t="shared" si="2"/>
        <v/>
      </c>
    </row>
    <row r="28" spans="1:16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35">
        <f t="shared" ref="I28:L28" si="8">SUM(I29:I30)</f>
        <v>1420</v>
      </c>
      <c r="J28" s="235">
        <f t="shared" ref="J28" si="9">SUM(J29:J30)</f>
        <v>1420</v>
      </c>
      <c r="K28" s="534">
        <f t="shared" si="8"/>
        <v>500</v>
      </c>
      <c r="L28" s="240">
        <f t="shared" si="8"/>
        <v>0</v>
      </c>
      <c r="M28" s="264">
        <f t="shared" ref="M28" si="10">SUM(M29:M30)</f>
        <v>500</v>
      </c>
      <c r="N28" s="218">
        <f t="shared" si="2"/>
        <v>35.2112676056338</v>
      </c>
    </row>
    <row r="29" spans="1:16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38">
        <v>0</v>
      </c>
      <c r="J29" s="238">
        <v>0</v>
      </c>
      <c r="K29" s="388">
        <v>0</v>
      </c>
      <c r="L29" s="243">
        <v>0</v>
      </c>
      <c r="M29" s="262">
        <f t="shared" ref="M29:M30" si="11">SUM(K29:L29)</f>
        <v>0</v>
      </c>
      <c r="N29" s="218" t="str">
        <f t="shared" si="2"/>
        <v/>
      </c>
    </row>
    <row r="30" spans="1:16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38">
        <v>1420</v>
      </c>
      <c r="J30" s="238">
        <v>1420</v>
      </c>
      <c r="K30" s="389">
        <v>500</v>
      </c>
      <c r="L30" s="239">
        <v>0</v>
      </c>
      <c r="M30" s="262">
        <f t="shared" si="11"/>
        <v>500</v>
      </c>
      <c r="N30" s="218">
        <f t="shared" si="2"/>
        <v>35.2112676056338</v>
      </c>
    </row>
    <row r="31" spans="1:16" ht="8.1" customHeight="1">
      <c r="B31" s="10"/>
      <c r="C31" s="11"/>
      <c r="D31" s="11"/>
      <c r="E31" s="170"/>
      <c r="F31" s="184"/>
      <c r="G31" s="203"/>
      <c r="H31" s="24"/>
      <c r="I31" s="235"/>
      <c r="J31" s="235"/>
      <c r="K31" s="534"/>
      <c r="L31" s="240"/>
      <c r="M31" s="264"/>
      <c r="N31" s="218" t="str">
        <f t="shared" si="2"/>
        <v/>
      </c>
    </row>
    <row r="32" spans="1:16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35">
        <v>2</v>
      </c>
      <c r="J32" s="235">
        <v>2</v>
      </c>
      <c r="K32" s="534">
        <v>2</v>
      </c>
      <c r="L32" s="240"/>
      <c r="M32" s="264">
        <v>2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25" t="s">
        <v>106</v>
      </c>
      <c r="I33" s="172">
        <f>I8+I13+I16+I28</f>
        <v>65210</v>
      </c>
      <c r="J33" s="172">
        <f>J8+J13+J16+J28</f>
        <v>65210</v>
      </c>
      <c r="K33" s="401">
        <f>K8+K13+K16+K28</f>
        <v>68940</v>
      </c>
      <c r="L33" s="172">
        <f>L8+L13+L16+L28</f>
        <v>0</v>
      </c>
      <c r="M33" s="264">
        <f>M8+M13+M16+M28</f>
        <v>68940</v>
      </c>
      <c r="N33" s="217">
        <f>IF(J33=0,"",M33/J33*100)</f>
        <v>105.71998159791443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/>
      <c r="J34" s="15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8.1" customHeight="1" thickBot="1">
      <c r="B36" s="16"/>
      <c r="C36" s="17"/>
      <c r="D36" s="17"/>
      <c r="E36" s="17"/>
      <c r="F36" s="185"/>
      <c r="G36" s="204"/>
      <c r="H36" s="17"/>
      <c r="I36" s="17"/>
      <c r="J36" s="17"/>
      <c r="K36" s="16"/>
      <c r="L36" s="17"/>
      <c r="M36" s="271"/>
      <c r="N36" s="220"/>
    </row>
    <row r="37" spans="1:14" ht="12.95" customHeight="1">
      <c r="F37" s="186"/>
      <c r="G37" s="205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F39" s="186"/>
      <c r="G39" s="205"/>
      <c r="M39" s="268"/>
    </row>
    <row r="40" spans="1:14" ht="12.95" customHeight="1">
      <c r="F40" s="186"/>
      <c r="G40" s="205"/>
      <c r="M40" s="268"/>
    </row>
    <row r="41" spans="1:14" ht="12.95" customHeight="1">
      <c r="F41" s="186"/>
      <c r="G41" s="205"/>
      <c r="M41" s="268"/>
    </row>
    <row r="42" spans="1:14" ht="12.95" customHeight="1"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2"/>
  <dimension ref="A1:P96"/>
  <sheetViews>
    <sheetView topLeftCell="A4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645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906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907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358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111</v>
      </c>
      <c r="C7" s="7" t="s">
        <v>80</v>
      </c>
      <c r="D7" s="7" t="s">
        <v>115</v>
      </c>
      <c r="E7" s="459" t="s">
        <v>723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35">
        <f t="shared" ref="I8" si="0">SUM(I9:I12)</f>
        <v>83650</v>
      </c>
      <c r="J8" s="235">
        <f t="shared" ref="J8" si="1">SUM(J9:J12)</f>
        <v>83650</v>
      </c>
      <c r="K8" s="532">
        <f>SUM(K9:K12)</f>
        <v>84400</v>
      </c>
      <c r="L8" s="244">
        <f>SUM(L9:L12)</f>
        <v>0</v>
      </c>
      <c r="M8" s="261">
        <f>SUM(M9:M12)</f>
        <v>84400</v>
      </c>
      <c r="N8" s="217">
        <f t="shared" ref="N8:N31" si="2">IF(J8=0,"",M8/J8*100)</f>
        <v>100.89659294680216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38">
        <v>68800</v>
      </c>
      <c r="J9" s="238">
        <v>68800</v>
      </c>
      <c r="K9" s="388">
        <f>73050+400</f>
        <v>73450</v>
      </c>
      <c r="L9" s="243">
        <v>0</v>
      </c>
      <c r="M9" s="262">
        <f>SUM(K9:L9)</f>
        <v>73450</v>
      </c>
      <c r="N9" s="218">
        <f t="shared" si="2"/>
        <v>106.75872093023256</v>
      </c>
      <c r="O9" s="51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38">
        <v>14850</v>
      </c>
      <c r="J10" s="238">
        <v>14850</v>
      </c>
      <c r="K10" s="388">
        <f>10450+500</f>
        <v>10950</v>
      </c>
      <c r="L10" s="243">
        <v>0</v>
      </c>
      <c r="M10" s="262">
        <f t="shared" ref="M10:M11" si="3">SUM(K10:L10)</f>
        <v>10950</v>
      </c>
      <c r="N10" s="218">
        <f t="shared" si="2"/>
        <v>73.73737373737373</v>
      </c>
      <c r="O10" s="53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38">
        <v>0</v>
      </c>
      <c r="J11" s="238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8.1" customHeight="1">
      <c r="B12" s="10"/>
      <c r="C12" s="11"/>
      <c r="D12" s="11"/>
      <c r="E12" s="170"/>
      <c r="F12" s="184"/>
      <c r="G12" s="203"/>
      <c r="H12" s="472"/>
      <c r="I12" s="238"/>
      <c r="J12" s="238"/>
      <c r="K12" s="388"/>
      <c r="L12" s="243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35">
        <f t="shared" ref="I13:J13" si="4">I14</f>
        <v>7390</v>
      </c>
      <c r="J13" s="235">
        <f t="shared" si="4"/>
        <v>7390</v>
      </c>
      <c r="K13" s="532">
        <f>K14</f>
        <v>7800</v>
      </c>
      <c r="L13" s="244">
        <f>L14</f>
        <v>0</v>
      </c>
      <c r="M13" s="261">
        <f>M14</f>
        <v>7800</v>
      </c>
      <c r="N13" s="217">
        <f t="shared" si="2"/>
        <v>105.54803788903924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38">
        <v>7390</v>
      </c>
      <c r="J14" s="238">
        <v>7390</v>
      </c>
      <c r="K14" s="388">
        <f>7700+100</f>
        <v>7800</v>
      </c>
      <c r="L14" s="243">
        <v>0</v>
      </c>
      <c r="M14" s="262">
        <f>SUM(K14:L14)</f>
        <v>7800</v>
      </c>
      <c r="N14" s="218">
        <f t="shared" si="2"/>
        <v>105.54803788903924</v>
      </c>
    </row>
    <row r="15" spans="1:16" ht="8.1" customHeight="1">
      <c r="B15" s="10"/>
      <c r="C15" s="11"/>
      <c r="D15" s="11"/>
      <c r="E15" s="170"/>
      <c r="F15" s="184"/>
      <c r="G15" s="203"/>
      <c r="H15" s="24"/>
      <c r="I15" s="238"/>
      <c r="J15" s="238"/>
      <c r="K15" s="389"/>
      <c r="L15" s="239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35">
        <f t="shared" ref="I16" si="5">SUM(I17:I26)</f>
        <v>5500</v>
      </c>
      <c r="J16" s="235">
        <f t="shared" ref="J16" si="6">SUM(J17:J26)</f>
        <v>5500</v>
      </c>
      <c r="K16" s="533">
        <f>SUM(K17:K26)</f>
        <v>5500</v>
      </c>
      <c r="L16" s="242">
        <f>SUM(L17:L26)</f>
        <v>0</v>
      </c>
      <c r="M16" s="264">
        <f>SUM(M17:M26)</f>
        <v>5500</v>
      </c>
      <c r="N16" s="217">
        <f t="shared" si="2"/>
        <v>100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38">
        <v>700</v>
      </c>
      <c r="J17" s="238">
        <v>700</v>
      </c>
      <c r="K17" s="388">
        <v>700</v>
      </c>
      <c r="L17" s="243">
        <v>0</v>
      </c>
      <c r="M17" s="262">
        <f t="shared" ref="M17:M26" si="7">SUM(K17:L17)</f>
        <v>700</v>
      </c>
      <c r="N17" s="218">
        <f t="shared" si="2"/>
        <v>100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38">
        <v>0</v>
      </c>
      <c r="J18" s="238">
        <v>0</v>
      </c>
      <c r="K18" s="389">
        <v>0</v>
      </c>
      <c r="L18" s="239">
        <v>0</v>
      </c>
      <c r="M18" s="262">
        <f t="shared" si="7"/>
        <v>0</v>
      </c>
      <c r="N18" s="218" t="str">
        <f t="shared" si="2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38">
        <v>2500</v>
      </c>
      <c r="J19" s="238">
        <v>2500</v>
      </c>
      <c r="K19" s="389">
        <v>2500</v>
      </c>
      <c r="L19" s="239">
        <v>0</v>
      </c>
      <c r="M19" s="262">
        <f t="shared" si="7"/>
        <v>2500</v>
      </c>
      <c r="N19" s="218">
        <f t="shared" si="2"/>
        <v>100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38">
        <v>300</v>
      </c>
      <c r="J20" s="238">
        <v>300</v>
      </c>
      <c r="K20" s="388">
        <v>300</v>
      </c>
      <c r="L20" s="243">
        <v>0</v>
      </c>
      <c r="M20" s="262">
        <f t="shared" si="7"/>
        <v>300</v>
      </c>
      <c r="N20" s="218">
        <f t="shared" si="2"/>
        <v>100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38">
        <v>0</v>
      </c>
      <c r="J21" s="238">
        <v>0</v>
      </c>
      <c r="K21" s="389">
        <v>0</v>
      </c>
      <c r="L21" s="239">
        <v>0</v>
      </c>
      <c r="M21" s="262">
        <f t="shared" si="7"/>
        <v>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38">
        <v>0</v>
      </c>
      <c r="J22" s="238">
        <v>0</v>
      </c>
      <c r="K22" s="389">
        <v>0</v>
      </c>
      <c r="L22" s="239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38">
        <v>500</v>
      </c>
      <c r="J23" s="238">
        <v>500</v>
      </c>
      <c r="K23" s="389">
        <v>500</v>
      </c>
      <c r="L23" s="239">
        <v>0</v>
      </c>
      <c r="M23" s="262">
        <f t="shared" si="7"/>
        <v>500</v>
      </c>
      <c r="N23" s="218">
        <f t="shared" si="2"/>
        <v>100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38">
        <v>0</v>
      </c>
      <c r="J24" s="238">
        <v>0</v>
      </c>
      <c r="K24" s="389">
        <v>0</v>
      </c>
      <c r="L24" s="239">
        <v>0</v>
      </c>
      <c r="M24" s="262">
        <f t="shared" si="7"/>
        <v>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38">
        <v>1500</v>
      </c>
      <c r="J25" s="238">
        <v>1500</v>
      </c>
      <c r="K25" s="388">
        <v>1500</v>
      </c>
      <c r="L25" s="243">
        <v>0</v>
      </c>
      <c r="M25" s="262">
        <f t="shared" si="7"/>
        <v>1500</v>
      </c>
      <c r="N25" s="218">
        <f t="shared" si="2"/>
        <v>100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4" s="1" customFormat="1" ht="8.1" customHeight="1">
      <c r="A27" s="165"/>
      <c r="B27" s="12"/>
      <c r="C27" s="8"/>
      <c r="D27" s="8"/>
      <c r="E27" s="458"/>
      <c r="F27" s="194"/>
      <c r="G27" s="214"/>
      <c r="H27" s="25"/>
      <c r="I27" s="238"/>
      <c r="J27" s="238"/>
      <c r="K27" s="388"/>
      <c r="L27" s="243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35">
        <f t="shared" ref="I28" si="8">SUM(I29:I30)</f>
        <v>1500</v>
      </c>
      <c r="J28" s="235">
        <f t="shared" ref="J28" si="9">SUM(J29:J30)</f>
        <v>1500</v>
      </c>
      <c r="K28" s="532">
        <f>SUM(K29:K30)</f>
        <v>1500</v>
      </c>
      <c r="L28" s="244">
        <f>SUM(L29:L30)</f>
        <v>0</v>
      </c>
      <c r="M28" s="264">
        <f>SUM(M29:M30)</f>
        <v>1500</v>
      </c>
      <c r="N28" s="217">
        <f t="shared" si="2"/>
        <v>100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38">
        <v>0</v>
      </c>
      <c r="J29" s="238">
        <v>0</v>
      </c>
      <c r="K29" s="388">
        <v>0</v>
      </c>
      <c r="L29" s="243">
        <v>0</v>
      </c>
      <c r="M29" s="262">
        <f t="shared" ref="M29:M30" si="10">SUM(K29:L29)</f>
        <v>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38">
        <v>1500</v>
      </c>
      <c r="J30" s="238">
        <v>1500</v>
      </c>
      <c r="K30" s="388">
        <v>1500</v>
      </c>
      <c r="L30" s="243">
        <v>0</v>
      </c>
      <c r="M30" s="262">
        <f t="shared" si="10"/>
        <v>1500</v>
      </c>
      <c r="N30" s="218">
        <f t="shared" si="2"/>
        <v>100</v>
      </c>
    </row>
    <row r="31" spans="1:14" ht="8.1" customHeight="1">
      <c r="B31" s="10"/>
      <c r="C31" s="11"/>
      <c r="D31" s="11"/>
      <c r="E31" s="170"/>
      <c r="F31" s="184"/>
      <c r="G31" s="203"/>
      <c r="H31" s="24"/>
      <c r="I31" s="238"/>
      <c r="J31" s="238"/>
      <c r="K31" s="389"/>
      <c r="L31" s="239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35">
        <v>3</v>
      </c>
      <c r="J32" s="235">
        <v>3</v>
      </c>
      <c r="K32" s="532">
        <v>3</v>
      </c>
      <c r="L32" s="244"/>
      <c r="M32" s="264">
        <v>3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98040</v>
      </c>
      <c r="J33" s="172">
        <f>J8+J13+J16+J28</f>
        <v>98040</v>
      </c>
      <c r="K33" s="401">
        <f>K8+K13+K16+K28</f>
        <v>99200</v>
      </c>
      <c r="L33" s="172">
        <f>L8+L13+L16+L28</f>
        <v>0</v>
      </c>
      <c r="M33" s="264">
        <f>M8+M13+M16+M28</f>
        <v>99200</v>
      </c>
      <c r="N33" s="217">
        <f>IF(J33=0,"",M33/J33*100)</f>
        <v>101.18319053447573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398"/>
      <c r="J35" s="172"/>
      <c r="K35" s="401"/>
      <c r="L35" s="172"/>
      <c r="M35" s="264"/>
      <c r="N35" s="218" t="str">
        <f>IF(J35=0,"",M35/J35*100)</f>
        <v/>
      </c>
    </row>
    <row r="36" spans="1:14" ht="8.1" customHeight="1" thickBot="1">
      <c r="B36" s="16"/>
      <c r="C36" s="17"/>
      <c r="D36" s="17"/>
      <c r="E36" s="17"/>
      <c r="F36" s="185"/>
      <c r="G36" s="204"/>
      <c r="H36" s="17"/>
      <c r="I36" s="17"/>
      <c r="J36" s="17"/>
      <c r="K36" s="16"/>
      <c r="L36" s="17"/>
      <c r="M36" s="271"/>
      <c r="N36" s="220"/>
    </row>
    <row r="37" spans="1:14" ht="12.95" customHeight="1">
      <c r="F37" s="186"/>
      <c r="G37" s="205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6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B2" s="876" t="s">
        <v>453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111</v>
      </c>
      <c r="C7" s="7" t="s">
        <v>80</v>
      </c>
      <c r="D7" s="7" t="s">
        <v>129</v>
      </c>
      <c r="E7" s="459" t="s">
        <v>723</v>
      </c>
      <c r="F7" s="5"/>
      <c r="G7" s="167"/>
      <c r="H7" s="5"/>
      <c r="I7" s="397"/>
      <c r="J7" s="40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35">
        <f t="shared" ref="I8" si="0">SUM(I9:I12)</f>
        <v>199320</v>
      </c>
      <c r="J8" s="235">
        <f t="shared" ref="J8" si="1">SUM(J9:J12)</f>
        <v>199320</v>
      </c>
      <c r="K8" s="538">
        <f>SUM(K9:K12)</f>
        <v>178010</v>
      </c>
      <c r="L8" s="405">
        <f>SUM(L9:L12)</f>
        <v>0</v>
      </c>
      <c r="M8" s="261">
        <f>SUM(M9:M12)</f>
        <v>178010</v>
      </c>
      <c r="N8" s="217">
        <f t="shared" ref="N8:N31" si="2">IF(J8=0,"",M8/J8*100)</f>
        <v>89.308649407987161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406">
        <v>157620</v>
      </c>
      <c r="J9" s="406">
        <v>157620</v>
      </c>
      <c r="K9" s="539">
        <f>129100+500+9*1600</f>
        <v>144000</v>
      </c>
      <c r="L9" s="406">
        <v>0</v>
      </c>
      <c r="M9" s="262">
        <f>SUM(K9:L9)</f>
        <v>144000</v>
      </c>
      <c r="N9" s="218">
        <f t="shared" si="2"/>
        <v>91.358964598401215</v>
      </c>
      <c r="O9" s="51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406">
        <v>41700</v>
      </c>
      <c r="J10" s="406">
        <v>41700</v>
      </c>
      <c r="K10" s="539">
        <f>30620+500+2890</f>
        <v>34010</v>
      </c>
      <c r="L10" s="406">
        <v>0</v>
      </c>
      <c r="M10" s="262">
        <f t="shared" ref="M10:M11" si="3">SUM(K10:L10)</f>
        <v>34010</v>
      </c>
      <c r="N10" s="218">
        <f t="shared" si="2"/>
        <v>81.558752997601914</v>
      </c>
      <c r="O10" s="53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38">
        <v>0</v>
      </c>
      <c r="J11" s="238">
        <v>0</v>
      </c>
      <c r="K11" s="539">
        <v>0</v>
      </c>
      <c r="L11" s="406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38"/>
      <c r="J12" s="238"/>
      <c r="K12" s="539"/>
      <c r="L12" s="406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35">
        <f t="shared" ref="I13:J13" si="4">I14</f>
        <v>16630</v>
      </c>
      <c r="J13" s="235">
        <f t="shared" si="4"/>
        <v>16630</v>
      </c>
      <c r="K13" s="538">
        <f>K14</f>
        <v>15380</v>
      </c>
      <c r="L13" s="405">
        <f>L14</f>
        <v>0</v>
      </c>
      <c r="M13" s="261">
        <f>M14</f>
        <v>15380</v>
      </c>
      <c r="N13" s="217">
        <f t="shared" si="2"/>
        <v>92.483463619963928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38">
        <v>16630</v>
      </c>
      <c r="J14" s="238">
        <v>16630</v>
      </c>
      <c r="K14" s="539">
        <f>13560+200+9*180</f>
        <v>15380</v>
      </c>
      <c r="L14" s="406">
        <v>0</v>
      </c>
      <c r="M14" s="262">
        <f>SUM(K14:L14)</f>
        <v>15380</v>
      </c>
      <c r="N14" s="218">
        <f t="shared" si="2"/>
        <v>92.483463619963928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38"/>
      <c r="J15" s="238"/>
      <c r="K15" s="389"/>
      <c r="L15" s="239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35">
        <f t="shared" ref="I16" si="5">SUM(I17:I26)</f>
        <v>6300</v>
      </c>
      <c r="J16" s="235">
        <f t="shared" ref="J16" si="6">SUM(J17:J26)</f>
        <v>6300</v>
      </c>
      <c r="K16" s="533">
        <f>SUM(K17:K26)</f>
        <v>8500</v>
      </c>
      <c r="L16" s="242">
        <f>SUM(L17:L26)</f>
        <v>0</v>
      </c>
      <c r="M16" s="264">
        <f>SUM(M17:M26)</f>
        <v>8500</v>
      </c>
      <c r="N16" s="217">
        <f t="shared" si="2"/>
        <v>134.92063492063494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38">
        <v>2500</v>
      </c>
      <c r="J17" s="238">
        <v>2500</v>
      </c>
      <c r="K17" s="388">
        <v>3000</v>
      </c>
      <c r="L17" s="243">
        <v>0</v>
      </c>
      <c r="M17" s="262">
        <f t="shared" ref="M17:M26" si="7">SUM(K17:L17)</f>
        <v>3000</v>
      </c>
      <c r="N17" s="218">
        <f t="shared" si="2"/>
        <v>120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38">
        <v>0</v>
      </c>
      <c r="J18" s="238">
        <v>0</v>
      </c>
      <c r="K18" s="389">
        <v>0</v>
      </c>
      <c r="L18" s="239">
        <v>0</v>
      </c>
      <c r="M18" s="262">
        <f t="shared" si="7"/>
        <v>0</v>
      </c>
      <c r="N18" s="218" t="str">
        <f t="shared" si="2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38">
        <v>800</v>
      </c>
      <c r="J19" s="238">
        <v>800</v>
      </c>
      <c r="K19" s="389">
        <v>500</v>
      </c>
      <c r="L19" s="239">
        <v>0</v>
      </c>
      <c r="M19" s="262">
        <f t="shared" si="7"/>
        <v>500</v>
      </c>
      <c r="N19" s="218">
        <f t="shared" si="2"/>
        <v>62.5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38">
        <v>800</v>
      </c>
      <c r="J20" s="238">
        <v>800</v>
      </c>
      <c r="K20" s="388">
        <v>1000</v>
      </c>
      <c r="L20" s="243">
        <v>0</v>
      </c>
      <c r="M20" s="262">
        <f t="shared" si="7"/>
        <v>1000</v>
      </c>
      <c r="N20" s="218">
        <f t="shared" si="2"/>
        <v>125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38">
        <v>0</v>
      </c>
      <c r="J21" s="238">
        <v>0</v>
      </c>
      <c r="K21" s="389">
        <v>0</v>
      </c>
      <c r="L21" s="239">
        <v>0</v>
      </c>
      <c r="M21" s="262">
        <f t="shared" si="7"/>
        <v>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38">
        <v>0</v>
      </c>
      <c r="J22" s="238">
        <v>0</v>
      </c>
      <c r="K22" s="389">
        <v>0</v>
      </c>
      <c r="L22" s="239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38">
        <v>1200</v>
      </c>
      <c r="J23" s="238">
        <v>1200</v>
      </c>
      <c r="K23" s="389">
        <v>1500</v>
      </c>
      <c r="L23" s="239">
        <v>0</v>
      </c>
      <c r="M23" s="262">
        <f t="shared" si="7"/>
        <v>1500</v>
      </c>
      <c r="N23" s="218">
        <f t="shared" si="2"/>
        <v>125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38">
        <v>0</v>
      </c>
      <c r="J24" s="238">
        <v>0</v>
      </c>
      <c r="K24" s="389">
        <v>0</v>
      </c>
      <c r="L24" s="239">
        <v>0</v>
      </c>
      <c r="M24" s="262">
        <f t="shared" si="7"/>
        <v>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38">
        <v>1000</v>
      </c>
      <c r="J25" s="238">
        <v>1000</v>
      </c>
      <c r="K25" s="388">
        <v>2500</v>
      </c>
      <c r="L25" s="243">
        <v>0</v>
      </c>
      <c r="M25" s="262">
        <f t="shared" si="7"/>
        <v>2500</v>
      </c>
      <c r="N25" s="218">
        <f t="shared" si="2"/>
        <v>250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458"/>
      <c r="F27" s="194"/>
      <c r="G27" s="214"/>
      <c r="H27" s="25"/>
      <c r="I27" s="238"/>
      <c r="J27" s="238"/>
      <c r="K27" s="388"/>
      <c r="L27" s="243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35">
        <f t="shared" ref="I28" si="8">SUM(I29:I30)</f>
        <v>5000</v>
      </c>
      <c r="J28" s="235">
        <f t="shared" ref="J28" si="9">SUM(J29:J30)</f>
        <v>5000</v>
      </c>
      <c r="K28" s="532">
        <f>SUM(K29:K30)</f>
        <v>5000</v>
      </c>
      <c r="L28" s="244">
        <f>SUM(L29:L30)</f>
        <v>0</v>
      </c>
      <c r="M28" s="264">
        <f>SUM(M29:M30)</f>
        <v>5000</v>
      </c>
      <c r="N28" s="217">
        <f t="shared" si="2"/>
        <v>100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38">
        <v>0</v>
      </c>
      <c r="J29" s="238">
        <v>0</v>
      </c>
      <c r="K29" s="388">
        <v>0</v>
      </c>
      <c r="L29" s="243">
        <v>0</v>
      </c>
      <c r="M29" s="262">
        <f t="shared" ref="M29:M30" si="10">SUM(K29:L29)</f>
        <v>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38">
        <v>5000</v>
      </c>
      <c r="J30" s="238">
        <v>5000</v>
      </c>
      <c r="K30" s="388">
        <v>5000</v>
      </c>
      <c r="L30" s="243">
        <v>0</v>
      </c>
      <c r="M30" s="262">
        <f t="shared" si="10"/>
        <v>5000</v>
      </c>
      <c r="N30" s="218">
        <f t="shared" si="2"/>
        <v>100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38"/>
      <c r="J31" s="238"/>
      <c r="K31" s="389"/>
      <c r="L31" s="239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379">
        <v>6</v>
      </c>
      <c r="J32" s="379">
        <v>6</v>
      </c>
      <c r="K32" s="535">
        <v>8</v>
      </c>
      <c r="L32" s="408"/>
      <c r="M32" s="266">
        <v>8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227250</v>
      </c>
      <c r="J33" s="172">
        <f>J8+J13+J16+J28</f>
        <v>227250</v>
      </c>
      <c r="K33" s="401">
        <f>K8+K13+K16+K28</f>
        <v>206890</v>
      </c>
      <c r="L33" s="172">
        <f>L8+L13+L16+L28</f>
        <v>0</v>
      </c>
      <c r="M33" s="264">
        <f>M8+M13+M16+M28</f>
        <v>206890</v>
      </c>
      <c r="N33" s="217">
        <f>IF(J33=0,"",M33/J33*100)</f>
        <v>91.040704070407045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/>
      <c r="J34" s="15"/>
      <c r="K34" s="401"/>
      <c r="L34" s="172"/>
      <c r="M34" s="264"/>
      <c r="N34" s="217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/>
      <c r="J35" s="15"/>
      <c r="K35" s="401"/>
      <c r="L35" s="172"/>
      <c r="M35" s="264"/>
      <c r="N35" s="217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17"/>
      <c r="J36" s="17"/>
      <c r="K36" s="16"/>
      <c r="L36" s="17"/>
      <c r="M36" s="271"/>
      <c r="N36" s="220"/>
    </row>
    <row r="37" spans="1:14" ht="12.95" customHeight="1">
      <c r="F37" s="186"/>
      <c r="G37" s="205"/>
      <c r="K37" s="513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168" customWidth="1"/>
    <col min="3" max="3" width="5.140625" style="168" customWidth="1"/>
    <col min="4" max="5" width="5" style="168" customWidth="1"/>
    <col min="6" max="7" width="8.7109375" style="173" customWidth="1"/>
    <col min="8" max="8" width="50.7109375" style="168" customWidth="1"/>
    <col min="9" max="12" width="14.7109375" style="168" customWidth="1"/>
    <col min="13" max="13" width="15.7109375" style="168" customWidth="1"/>
    <col min="14" max="14" width="7.7109375" style="221" customWidth="1"/>
    <col min="15" max="16384" width="9.140625" style="168"/>
  </cols>
  <sheetData>
    <row r="1" spans="2:17" ht="13.5" thickBot="1"/>
    <row r="2" spans="2:17" s="252" customFormat="1" ht="20.100000000000001" customHeight="1" thickTop="1" thickBot="1">
      <c r="B2" s="876" t="s">
        <v>640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2:17" s="165" customFormat="1" ht="8.1" customHeight="1" thickTop="1" thickBot="1">
      <c r="F3" s="166"/>
      <c r="G3" s="166"/>
      <c r="H3" s="879"/>
      <c r="I3" s="879"/>
      <c r="J3" s="442"/>
      <c r="K3" s="78"/>
      <c r="L3" s="78"/>
      <c r="M3" s="78"/>
      <c r="N3" s="215"/>
    </row>
    <row r="4" spans="2:17" s="165" customFormat="1" ht="39" customHeight="1"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2:17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2:17" s="166" customFormat="1" ht="12.95" customHeight="1"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553">
        <v>9</v>
      </c>
      <c r="K6" s="195">
        <v>11</v>
      </c>
      <c r="L6" s="202">
        <v>12</v>
      </c>
      <c r="M6" s="373" t="s">
        <v>724</v>
      </c>
      <c r="N6" s="359">
        <v>14</v>
      </c>
    </row>
    <row r="7" spans="2:17" s="166" customFormat="1" ht="12.95" customHeight="1">
      <c r="B7" s="6" t="s">
        <v>111</v>
      </c>
      <c r="C7" s="7" t="s">
        <v>80</v>
      </c>
      <c r="D7" s="7" t="s">
        <v>130</v>
      </c>
      <c r="E7" s="459" t="s">
        <v>723</v>
      </c>
      <c r="F7" s="167"/>
      <c r="G7" s="167"/>
      <c r="H7" s="167"/>
      <c r="I7" s="167"/>
      <c r="J7" s="554"/>
      <c r="K7" s="180"/>
      <c r="L7" s="167"/>
      <c r="M7" s="260"/>
      <c r="N7" s="216"/>
    </row>
    <row r="8" spans="2:17" s="165" customFormat="1" ht="12.95" customHeight="1">
      <c r="B8" s="171"/>
      <c r="C8" s="8"/>
      <c r="D8" s="8"/>
      <c r="E8" s="8"/>
      <c r="F8" s="183">
        <v>611000</v>
      </c>
      <c r="G8" s="202"/>
      <c r="H8" s="25" t="s">
        <v>141</v>
      </c>
      <c r="I8" s="235">
        <f t="shared" ref="I8:K8" si="0">SUM(I9:I12)</f>
        <v>108010</v>
      </c>
      <c r="J8" s="383">
        <f t="shared" ref="J8" si="1">SUM(J9:J12)</f>
        <v>108010</v>
      </c>
      <c r="K8" s="234">
        <f t="shared" si="0"/>
        <v>116200</v>
      </c>
      <c r="L8" s="244">
        <f>SUM(L9:L12)</f>
        <v>0</v>
      </c>
      <c r="M8" s="261">
        <f>SUM(M9:M12)</f>
        <v>116200</v>
      </c>
      <c r="N8" s="217">
        <f t="shared" ref="N8:N34" si="2">IF(J8=0,"",M8/J8*100)</f>
        <v>107.58263123784835</v>
      </c>
    </row>
    <row r="9" spans="2:17" ht="12.95" customHeight="1">
      <c r="B9" s="169"/>
      <c r="C9" s="170"/>
      <c r="D9" s="170"/>
      <c r="E9" s="170"/>
      <c r="F9" s="184">
        <v>611100</v>
      </c>
      <c r="G9" s="203"/>
      <c r="H9" s="472" t="s">
        <v>167</v>
      </c>
      <c r="I9" s="238">
        <v>86300</v>
      </c>
      <c r="J9" s="382">
        <v>86300</v>
      </c>
      <c r="K9" s="233">
        <f>94520+400</f>
        <v>94920</v>
      </c>
      <c r="L9" s="243">
        <v>0</v>
      </c>
      <c r="M9" s="262">
        <f>SUM(K9:L9)</f>
        <v>94920</v>
      </c>
      <c r="N9" s="218">
        <f t="shared" si="2"/>
        <v>109.98841251448435</v>
      </c>
    </row>
    <row r="10" spans="2:17" ht="12.95" customHeight="1">
      <c r="B10" s="169"/>
      <c r="C10" s="170"/>
      <c r="D10" s="170"/>
      <c r="E10" s="170"/>
      <c r="F10" s="184">
        <v>611200</v>
      </c>
      <c r="G10" s="203"/>
      <c r="H10" s="24" t="s">
        <v>168</v>
      </c>
      <c r="I10" s="238">
        <v>21710</v>
      </c>
      <c r="J10" s="382">
        <v>21710</v>
      </c>
      <c r="K10" s="233">
        <f>20780+500</f>
        <v>21280</v>
      </c>
      <c r="L10" s="243">
        <v>0</v>
      </c>
      <c r="M10" s="262">
        <f t="shared" ref="M10:M11" si="3">SUM(K10:L10)</f>
        <v>21280</v>
      </c>
      <c r="N10" s="218">
        <f t="shared" si="2"/>
        <v>98.019345923537543</v>
      </c>
    </row>
    <row r="11" spans="2:17" ht="12.95" customHeight="1">
      <c r="B11" s="169"/>
      <c r="C11" s="170"/>
      <c r="D11" s="170"/>
      <c r="E11" s="170"/>
      <c r="F11" s="184">
        <v>611200</v>
      </c>
      <c r="G11" s="203"/>
      <c r="H11" s="479" t="s">
        <v>446</v>
      </c>
      <c r="I11" s="238">
        <v>0</v>
      </c>
      <c r="J11" s="382">
        <v>0</v>
      </c>
      <c r="K11" s="233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2:17" ht="8.1" customHeight="1">
      <c r="B12" s="169"/>
      <c r="C12" s="170"/>
      <c r="D12" s="170"/>
      <c r="E12" s="170"/>
      <c r="F12" s="184"/>
      <c r="G12" s="203"/>
      <c r="H12" s="472"/>
      <c r="I12" s="238"/>
      <c r="J12" s="382"/>
      <c r="K12" s="233"/>
      <c r="L12" s="243"/>
      <c r="M12" s="262"/>
      <c r="N12" s="218" t="str">
        <f t="shared" si="2"/>
        <v/>
      </c>
    </row>
    <row r="13" spans="2:17" s="165" customFormat="1" ht="12.95" customHeight="1">
      <c r="B13" s="171"/>
      <c r="C13" s="8"/>
      <c r="D13" s="8"/>
      <c r="E13" s="8"/>
      <c r="F13" s="183">
        <v>612000</v>
      </c>
      <c r="G13" s="202"/>
      <c r="H13" s="25" t="s">
        <v>140</v>
      </c>
      <c r="I13" s="235">
        <f t="shared" ref="I13:K13" si="4">I14</f>
        <v>9150</v>
      </c>
      <c r="J13" s="383">
        <f t="shared" si="4"/>
        <v>9150</v>
      </c>
      <c r="K13" s="234">
        <f t="shared" si="4"/>
        <v>10080</v>
      </c>
      <c r="L13" s="244">
        <f>L14</f>
        <v>0</v>
      </c>
      <c r="M13" s="261">
        <f>M14</f>
        <v>10080</v>
      </c>
      <c r="N13" s="217">
        <f t="shared" si="2"/>
        <v>110.16393442622952</v>
      </c>
      <c r="Q13" s="54"/>
    </row>
    <row r="14" spans="2:17" ht="12.95" customHeight="1">
      <c r="B14" s="169"/>
      <c r="C14" s="170"/>
      <c r="D14" s="170"/>
      <c r="E14" s="170"/>
      <c r="F14" s="184">
        <v>612100</v>
      </c>
      <c r="G14" s="203"/>
      <c r="H14" s="474" t="s">
        <v>82</v>
      </c>
      <c r="I14" s="238">
        <v>9150</v>
      </c>
      <c r="J14" s="382">
        <v>9150</v>
      </c>
      <c r="K14" s="233">
        <f>9930+150</f>
        <v>10080</v>
      </c>
      <c r="L14" s="243">
        <v>0</v>
      </c>
      <c r="M14" s="262">
        <f>SUM(K14:L14)</f>
        <v>10080</v>
      </c>
      <c r="N14" s="218">
        <f t="shared" si="2"/>
        <v>110.16393442622952</v>
      </c>
      <c r="Q14" s="45"/>
    </row>
    <row r="15" spans="2:17" ht="8.1" customHeight="1">
      <c r="B15" s="169"/>
      <c r="C15" s="170"/>
      <c r="D15" s="170"/>
      <c r="E15" s="170"/>
      <c r="F15" s="184"/>
      <c r="G15" s="203"/>
      <c r="H15" s="24"/>
      <c r="I15" s="238"/>
      <c r="J15" s="382"/>
      <c r="K15" s="228"/>
      <c r="L15" s="239"/>
      <c r="M15" s="263"/>
      <c r="N15" s="218" t="str">
        <f t="shared" si="2"/>
        <v/>
      </c>
    </row>
    <row r="16" spans="2:17" s="165" customFormat="1" ht="12.95" customHeight="1">
      <c r="B16" s="171"/>
      <c r="C16" s="8"/>
      <c r="D16" s="8"/>
      <c r="E16" s="8"/>
      <c r="F16" s="183">
        <v>613000</v>
      </c>
      <c r="G16" s="202"/>
      <c r="H16" s="25" t="s">
        <v>142</v>
      </c>
      <c r="I16" s="235">
        <f t="shared" ref="I16:K16" si="5">SUM(I17:I26)</f>
        <v>4500</v>
      </c>
      <c r="J16" s="383">
        <f t="shared" ref="J16" si="6">SUM(J17:J26)</f>
        <v>4500</v>
      </c>
      <c r="K16" s="229">
        <f t="shared" si="5"/>
        <v>5500</v>
      </c>
      <c r="L16" s="242">
        <f>SUM(L17:L26)</f>
        <v>0</v>
      </c>
      <c r="M16" s="264">
        <f>SUM(M17:M26)</f>
        <v>5500</v>
      </c>
      <c r="N16" s="217">
        <f t="shared" si="2"/>
        <v>122.22222222222223</v>
      </c>
    </row>
    <row r="17" spans="2:15" ht="12.95" customHeight="1">
      <c r="B17" s="169"/>
      <c r="C17" s="170"/>
      <c r="D17" s="170"/>
      <c r="E17" s="170"/>
      <c r="F17" s="184">
        <v>613100</v>
      </c>
      <c r="G17" s="203"/>
      <c r="H17" s="24" t="s">
        <v>83</v>
      </c>
      <c r="I17" s="238">
        <v>500</v>
      </c>
      <c r="J17" s="382">
        <v>500</v>
      </c>
      <c r="K17" s="228">
        <v>500</v>
      </c>
      <c r="L17" s="239">
        <v>0</v>
      </c>
      <c r="M17" s="262">
        <f t="shared" ref="M17:M26" si="7">SUM(K17:L17)</f>
        <v>500</v>
      </c>
      <c r="N17" s="218">
        <f t="shared" si="2"/>
        <v>100</v>
      </c>
    </row>
    <row r="18" spans="2:15" ht="12.95" customHeight="1">
      <c r="B18" s="169"/>
      <c r="C18" s="170"/>
      <c r="D18" s="170"/>
      <c r="E18" s="170"/>
      <c r="F18" s="184">
        <v>613200</v>
      </c>
      <c r="G18" s="203"/>
      <c r="H18" s="24" t="s">
        <v>84</v>
      </c>
      <c r="I18" s="238">
        <v>0</v>
      </c>
      <c r="J18" s="382">
        <v>0</v>
      </c>
      <c r="K18" s="228">
        <v>0</v>
      </c>
      <c r="L18" s="239">
        <v>0</v>
      </c>
      <c r="M18" s="262">
        <f t="shared" si="7"/>
        <v>0</v>
      </c>
      <c r="N18" s="218" t="str">
        <f t="shared" si="2"/>
        <v/>
      </c>
    </row>
    <row r="19" spans="2:15" ht="12.95" customHeight="1">
      <c r="B19" s="169"/>
      <c r="C19" s="170"/>
      <c r="D19" s="170"/>
      <c r="E19" s="170"/>
      <c r="F19" s="184">
        <v>613300</v>
      </c>
      <c r="G19" s="203"/>
      <c r="H19" s="472" t="s">
        <v>169</v>
      </c>
      <c r="I19" s="238">
        <v>1500</v>
      </c>
      <c r="J19" s="382">
        <v>1500</v>
      </c>
      <c r="K19" s="228">
        <v>2500</v>
      </c>
      <c r="L19" s="239">
        <v>0</v>
      </c>
      <c r="M19" s="262">
        <f t="shared" si="7"/>
        <v>2500</v>
      </c>
      <c r="N19" s="218">
        <f t="shared" si="2"/>
        <v>166.66666666666669</v>
      </c>
    </row>
    <row r="20" spans="2:15" ht="12.95" customHeight="1">
      <c r="B20" s="169"/>
      <c r="C20" s="170"/>
      <c r="D20" s="170"/>
      <c r="E20" s="170"/>
      <c r="F20" s="184">
        <v>613400</v>
      </c>
      <c r="G20" s="203"/>
      <c r="H20" s="24" t="s">
        <v>143</v>
      </c>
      <c r="I20" s="238">
        <v>1000</v>
      </c>
      <c r="J20" s="382">
        <v>1000</v>
      </c>
      <c r="K20" s="228">
        <v>600</v>
      </c>
      <c r="L20" s="239">
        <v>0</v>
      </c>
      <c r="M20" s="262">
        <f t="shared" si="7"/>
        <v>600</v>
      </c>
      <c r="N20" s="218">
        <f t="shared" si="2"/>
        <v>60</v>
      </c>
    </row>
    <row r="21" spans="2:15" ht="12.95" customHeight="1">
      <c r="B21" s="169"/>
      <c r="C21" s="170"/>
      <c r="D21" s="170"/>
      <c r="E21" s="170"/>
      <c r="F21" s="184">
        <v>613500</v>
      </c>
      <c r="G21" s="203"/>
      <c r="H21" s="24" t="s">
        <v>85</v>
      </c>
      <c r="I21" s="238">
        <v>0</v>
      </c>
      <c r="J21" s="382">
        <v>0</v>
      </c>
      <c r="K21" s="228">
        <v>0</v>
      </c>
      <c r="L21" s="239">
        <v>0</v>
      </c>
      <c r="M21" s="262">
        <f t="shared" si="7"/>
        <v>0</v>
      </c>
      <c r="N21" s="218" t="str">
        <f t="shared" si="2"/>
        <v/>
      </c>
    </row>
    <row r="22" spans="2:15" ht="12.95" customHeight="1">
      <c r="B22" s="169"/>
      <c r="C22" s="170"/>
      <c r="D22" s="170"/>
      <c r="E22" s="170"/>
      <c r="F22" s="184">
        <v>613600</v>
      </c>
      <c r="G22" s="203"/>
      <c r="H22" s="472" t="s">
        <v>170</v>
      </c>
      <c r="I22" s="238">
        <v>0</v>
      </c>
      <c r="J22" s="382">
        <v>0</v>
      </c>
      <c r="K22" s="228">
        <v>0</v>
      </c>
      <c r="L22" s="239">
        <v>0</v>
      </c>
      <c r="M22" s="262">
        <f t="shared" si="7"/>
        <v>0</v>
      </c>
      <c r="N22" s="218" t="str">
        <f t="shared" si="2"/>
        <v/>
      </c>
    </row>
    <row r="23" spans="2:15" ht="12.95" customHeight="1">
      <c r="B23" s="169"/>
      <c r="C23" s="170"/>
      <c r="D23" s="170"/>
      <c r="E23" s="170"/>
      <c r="F23" s="184">
        <v>613700</v>
      </c>
      <c r="G23" s="203"/>
      <c r="H23" s="24" t="s">
        <v>86</v>
      </c>
      <c r="I23" s="238">
        <v>700</v>
      </c>
      <c r="J23" s="382">
        <v>700</v>
      </c>
      <c r="K23" s="228">
        <v>500</v>
      </c>
      <c r="L23" s="239">
        <v>0</v>
      </c>
      <c r="M23" s="262">
        <f t="shared" si="7"/>
        <v>500</v>
      </c>
      <c r="N23" s="218">
        <f t="shared" si="2"/>
        <v>71.428571428571431</v>
      </c>
    </row>
    <row r="24" spans="2:15" ht="12.95" customHeight="1">
      <c r="B24" s="169"/>
      <c r="C24" s="170"/>
      <c r="D24" s="170"/>
      <c r="E24" s="170"/>
      <c r="F24" s="184">
        <v>613800</v>
      </c>
      <c r="G24" s="203"/>
      <c r="H24" s="24" t="s">
        <v>144</v>
      </c>
      <c r="I24" s="238">
        <v>0</v>
      </c>
      <c r="J24" s="382">
        <v>0</v>
      </c>
      <c r="K24" s="228">
        <v>0</v>
      </c>
      <c r="L24" s="239">
        <v>0</v>
      </c>
      <c r="M24" s="262">
        <f t="shared" si="7"/>
        <v>0</v>
      </c>
      <c r="N24" s="218" t="str">
        <f t="shared" si="2"/>
        <v/>
      </c>
      <c r="O24" s="45"/>
    </row>
    <row r="25" spans="2:15" ht="12.95" customHeight="1">
      <c r="B25" s="169"/>
      <c r="C25" s="170"/>
      <c r="D25" s="170"/>
      <c r="E25" s="170"/>
      <c r="F25" s="184">
        <v>613900</v>
      </c>
      <c r="G25" s="203"/>
      <c r="H25" s="24" t="s">
        <v>145</v>
      </c>
      <c r="I25" s="238">
        <v>800</v>
      </c>
      <c r="J25" s="382">
        <v>800</v>
      </c>
      <c r="K25" s="233">
        <v>1400</v>
      </c>
      <c r="L25" s="243">
        <v>0</v>
      </c>
      <c r="M25" s="262">
        <f t="shared" si="7"/>
        <v>1400</v>
      </c>
      <c r="N25" s="218">
        <f t="shared" si="2"/>
        <v>175</v>
      </c>
    </row>
    <row r="26" spans="2:15" ht="12.95" customHeight="1">
      <c r="B26" s="169"/>
      <c r="C26" s="170"/>
      <c r="D26" s="170"/>
      <c r="E26" s="170"/>
      <c r="F26" s="184">
        <v>613900</v>
      </c>
      <c r="G26" s="203"/>
      <c r="H26" s="479" t="s">
        <v>447</v>
      </c>
      <c r="I26" s="238">
        <v>0</v>
      </c>
      <c r="J26" s="382">
        <v>0</v>
      </c>
      <c r="K26" s="228">
        <v>0</v>
      </c>
      <c r="L26" s="239">
        <v>0</v>
      </c>
      <c r="M26" s="262">
        <f t="shared" si="7"/>
        <v>0</v>
      </c>
      <c r="N26" s="218" t="str">
        <f t="shared" si="2"/>
        <v/>
      </c>
    </row>
    <row r="27" spans="2:15" ht="8.1" customHeight="1">
      <c r="B27" s="169"/>
      <c r="C27" s="170"/>
      <c r="D27" s="170"/>
      <c r="E27" s="170"/>
      <c r="F27" s="184"/>
      <c r="G27" s="203"/>
      <c r="H27" s="24"/>
      <c r="I27" s="235"/>
      <c r="J27" s="383"/>
      <c r="K27" s="231"/>
      <c r="L27" s="240"/>
      <c r="M27" s="264"/>
      <c r="N27" s="218" t="str">
        <f t="shared" si="2"/>
        <v/>
      </c>
    </row>
    <row r="28" spans="2:15" s="165" customFormat="1" ht="12.95" customHeight="1">
      <c r="B28" s="171"/>
      <c r="C28" s="8"/>
      <c r="D28" s="8"/>
      <c r="E28" s="458"/>
      <c r="F28" s="194">
        <v>614000</v>
      </c>
      <c r="G28" s="214"/>
      <c r="H28" s="25" t="s">
        <v>171</v>
      </c>
      <c r="I28" s="235">
        <f t="shared" ref="I28:L28" si="8">SUM(I29:I29)</f>
        <v>80000</v>
      </c>
      <c r="J28" s="383">
        <f t="shared" si="8"/>
        <v>80000</v>
      </c>
      <c r="K28" s="231">
        <f t="shared" si="8"/>
        <v>120000</v>
      </c>
      <c r="L28" s="240">
        <f t="shared" si="8"/>
        <v>0</v>
      </c>
      <c r="M28" s="264">
        <f t="shared" ref="M28" si="9">SUM(M29:M29)</f>
        <v>120000</v>
      </c>
      <c r="N28" s="217">
        <f t="shared" si="2"/>
        <v>150</v>
      </c>
    </row>
    <row r="29" spans="2:15" ht="24" customHeight="1">
      <c r="B29" s="169"/>
      <c r="C29" s="170"/>
      <c r="D29" s="24"/>
      <c r="E29" s="24"/>
      <c r="F29" s="225">
        <v>614200</v>
      </c>
      <c r="G29" s="466" t="s">
        <v>639</v>
      </c>
      <c r="H29" s="480" t="s">
        <v>749</v>
      </c>
      <c r="I29" s="238">
        <v>80000</v>
      </c>
      <c r="J29" s="382">
        <v>80000</v>
      </c>
      <c r="K29" s="233">
        <v>120000</v>
      </c>
      <c r="L29" s="243">
        <v>0</v>
      </c>
      <c r="M29" s="262">
        <f>SUM(K29:L29)</f>
        <v>120000</v>
      </c>
      <c r="N29" s="218">
        <f t="shared" si="2"/>
        <v>150</v>
      </c>
    </row>
    <row r="30" spans="2:15" ht="8.1" customHeight="1">
      <c r="B30" s="169"/>
      <c r="C30" s="170"/>
      <c r="D30" s="170"/>
      <c r="E30" s="454"/>
      <c r="F30" s="192"/>
      <c r="G30" s="210"/>
      <c r="H30" s="24"/>
      <c r="I30" s="238"/>
      <c r="J30" s="382"/>
      <c r="K30" s="228"/>
      <c r="L30" s="239"/>
      <c r="M30" s="263"/>
      <c r="N30" s="218" t="str">
        <f t="shared" si="2"/>
        <v/>
      </c>
    </row>
    <row r="31" spans="2:15" s="165" customFormat="1" ht="12.95" customHeight="1">
      <c r="B31" s="171"/>
      <c r="C31" s="8"/>
      <c r="D31" s="8"/>
      <c r="E31" s="8"/>
      <c r="F31" s="183">
        <v>821000</v>
      </c>
      <c r="G31" s="202"/>
      <c r="H31" s="25" t="s">
        <v>89</v>
      </c>
      <c r="I31" s="235">
        <f t="shared" ref="I31:K31" si="10">SUM(I32:I33)</f>
        <v>1000</v>
      </c>
      <c r="J31" s="383">
        <f t="shared" ref="J31" si="11">SUM(J32:J33)</f>
        <v>1000</v>
      </c>
      <c r="K31" s="231">
        <f t="shared" si="10"/>
        <v>1500</v>
      </c>
      <c r="L31" s="240">
        <f>SUM(L32:L33)</f>
        <v>0</v>
      </c>
      <c r="M31" s="264">
        <f>SUM(M32:M33)</f>
        <v>1500</v>
      </c>
      <c r="N31" s="217">
        <f t="shared" si="2"/>
        <v>150</v>
      </c>
    </row>
    <row r="32" spans="2:15" ht="12.95" customHeight="1">
      <c r="B32" s="169"/>
      <c r="C32" s="170"/>
      <c r="D32" s="170"/>
      <c r="E32" s="170"/>
      <c r="F32" s="184">
        <v>821200</v>
      </c>
      <c r="G32" s="203"/>
      <c r="H32" s="24" t="s">
        <v>90</v>
      </c>
      <c r="I32" s="238">
        <v>0</v>
      </c>
      <c r="J32" s="382">
        <v>0</v>
      </c>
      <c r="K32" s="233">
        <v>0</v>
      </c>
      <c r="L32" s="243">
        <v>0</v>
      </c>
      <c r="M32" s="262">
        <f t="shared" ref="M32:M33" si="12">SUM(K32:L32)</f>
        <v>0</v>
      </c>
      <c r="N32" s="218" t="str">
        <f t="shared" si="2"/>
        <v/>
      </c>
    </row>
    <row r="33" spans="1:17" ht="12.95" customHeight="1">
      <c r="B33" s="169"/>
      <c r="C33" s="170"/>
      <c r="D33" s="170"/>
      <c r="E33" s="170"/>
      <c r="F33" s="184">
        <v>821300</v>
      </c>
      <c r="G33" s="203"/>
      <c r="H33" s="24" t="s">
        <v>91</v>
      </c>
      <c r="I33" s="238">
        <v>1000</v>
      </c>
      <c r="J33" s="382">
        <v>1000</v>
      </c>
      <c r="K33" s="228">
        <v>1500</v>
      </c>
      <c r="L33" s="239">
        <v>0</v>
      </c>
      <c r="M33" s="262">
        <f t="shared" si="12"/>
        <v>1500</v>
      </c>
      <c r="N33" s="218">
        <f t="shared" si="2"/>
        <v>150</v>
      </c>
    </row>
    <row r="34" spans="1:17" ht="8.1" customHeight="1">
      <c r="B34" s="169"/>
      <c r="C34" s="170"/>
      <c r="D34" s="170"/>
      <c r="E34" s="170"/>
      <c r="F34" s="184"/>
      <c r="G34" s="203"/>
      <c r="H34" s="24"/>
      <c r="I34" s="239"/>
      <c r="J34" s="577"/>
      <c r="K34" s="228"/>
      <c r="L34" s="239"/>
      <c r="M34" s="263"/>
      <c r="N34" s="218" t="str">
        <f t="shared" si="2"/>
        <v/>
      </c>
    </row>
    <row r="35" spans="1:17" s="165" customFormat="1" ht="12.95" customHeight="1">
      <c r="B35" s="171"/>
      <c r="C35" s="8"/>
      <c r="D35" s="8"/>
      <c r="E35" s="8"/>
      <c r="F35" s="183"/>
      <c r="G35" s="202"/>
      <c r="H35" s="25" t="s">
        <v>92</v>
      </c>
      <c r="I35" s="244">
        <v>4</v>
      </c>
      <c r="J35" s="557">
        <v>4</v>
      </c>
      <c r="K35" s="234">
        <v>4</v>
      </c>
      <c r="L35" s="244"/>
      <c r="M35" s="264">
        <v>4</v>
      </c>
      <c r="N35" s="218"/>
    </row>
    <row r="36" spans="1:17" s="165" customFormat="1" ht="12.95" customHeight="1">
      <c r="B36" s="171"/>
      <c r="C36" s="8"/>
      <c r="D36" s="8"/>
      <c r="E36" s="8"/>
      <c r="F36" s="183"/>
      <c r="G36" s="202"/>
      <c r="H36" s="8" t="s">
        <v>106</v>
      </c>
      <c r="I36" s="172">
        <f t="shared" ref="I36:M36" si="13">I31+I28+I16+I13+I8</f>
        <v>202660</v>
      </c>
      <c r="J36" s="387">
        <f t="shared" si="13"/>
        <v>202660</v>
      </c>
      <c r="K36" s="160">
        <f t="shared" si="13"/>
        <v>253280</v>
      </c>
      <c r="L36" s="172">
        <f t="shared" si="13"/>
        <v>0</v>
      </c>
      <c r="M36" s="264">
        <f t="shared" si="13"/>
        <v>253280</v>
      </c>
      <c r="N36" s="217">
        <f>IF(J36=0,"",M36/J36*100)</f>
        <v>124.97779532221453</v>
      </c>
    </row>
    <row r="37" spans="1:17" s="165" customFormat="1" ht="12.95" customHeight="1">
      <c r="B37" s="171"/>
      <c r="C37" s="8"/>
      <c r="D37" s="8"/>
      <c r="E37" s="8"/>
      <c r="F37" s="183"/>
      <c r="G37" s="202"/>
      <c r="H37" s="8" t="s">
        <v>93</v>
      </c>
      <c r="I37" s="172">
        <f>I36+'5'!I33+'4'!I33+'3'!I33+'4 (S)'!I36+'2'!I52</f>
        <v>2896820</v>
      </c>
      <c r="J37" s="387">
        <f>J36+'5'!J33+'4'!J33+'3'!J33+'4 (S)'!J36+'2'!J52</f>
        <v>2896820</v>
      </c>
      <c r="K37" s="160">
        <f>K36+'5'!K33+'4'!K33+'3'!K33+'4 (S)'!L36+'2'!K52</f>
        <v>2864370</v>
      </c>
      <c r="L37" s="172">
        <f>L36+'5'!L33+'4'!L33+'3'!L33+'4 (S)'!M36+'2'!L52</f>
        <v>0</v>
      </c>
      <c r="M37" s="264">
        <f>M36+'5'!M33+'4'!M33+'3'!M33+'4 (S)'!N36+'2'!M52</f>
        <v>2864370</v>
      </c>
      <c r="N37" s="224"/>
    </row>
    <row r="38" spans="1:17" s="165" customFormat="1" ht="12.95" customHeight="1">
      <c r="B38" s="171"/>
      <c r="C38" s="8"/>
      <c r="D38" s="8"/>
      <c r="E38" s="8"/>
      <c r="F38" s="183"/>
      <c r="G38" s="202"/>
      <c r="H38" s="8" t="s">
        <v>94</v>
      </c>
      <c r="I38" s="451">
        <f>I37</f>
        <v>2896820</v>
      </c>
      <c r="J38" s="578">
        <f t="shared" ref="J38:M38" si="14">J37</f>
        <v>2896820</v>
      </c>
      <c r="K38" s="452">
        <f t="shared" si="14"/>
        <v>2864370</v>
      </c>
      <c r="L38" s="451">
        <f t="shared" si="14"/>
        <v>0</v>
      </c>
      <c r="M38" s="453">
        <f t="shared" si="14"/>
        <v>2864370</v>
      </c>
      <c r="N38" s="219"/>
    </row>
    <row r="39" spans="1:17" ht="8.1" customHeight="1" thickBot="1">
      <c r="B39" s="16"/>
      <c r="C39" s="17"/>
      <c r="D39" s="17"/>
      <c r="E39" s="17"/>
      <c r="F39" s="185"/>
      <c r="G39" s="204"/>
      <c r="H39" s="17"/>
      <c r="I39" s="17"/>
      <c r="J39" s="562"/>
      <c r="K39" s="386"/>
      <c r="L39" s="17"/>
      <c r="M39" s="271"/>
      <c r="N39" s="220"/>
    </row>
    <row r="40" spans="1:17" ht="12.95" customHeight="1">
      <c r="F40" s="186"/>
      <c r="G40" s="205"/>
      <c r="M40" s="268"/>
    </row>
    <row r="41" spans="1:17" ht="12.95" customHeight="1">
      <c r="B41" s="45"/>
      <c r="F41" s="186"/>
      <c r="G41" s="205"/>
      <c r="M41" s="268"/>
    </row>
    <row r="42" spans="1:17" ht="12.95" customHeight="1">
      <c r="F42" s="186"/>
      <c r="G42" s="205"/>
      <c r="M42" s="268"/>
    </row>
    <row r="43" spans="1:17" ht="12.95" customHeight="1">
      <c r="F43" s="186"/>
      <c r="G43" s="205"/>
      <c r="M43" s="268"/>
    </row>
    <row r="44" spans="1:17" ht="12.95" customHeight="1">
      <c r="F44" s="186"/>
      <c r="G44" s="205"/>
      <c r="M44" s="268"/>
    </row>
    <row r="45" spans="1:17" ht="12.95" customHeight="1">
      <c r="F45" s="186"/>
      <c r="G45" s="205"/>
      <c r="M45" s="268"/>
    </row>
    <row r="46" spans="1:17" ht="12.95" customHeight="1">
      <c r="F46" s="186"/>
      <c r="G46" s="205"/>
      <c r="M46" s="268"/>
    </row>
    <row r="47" spans="1:17" ht="12.95" customHeight="1">
      <c r="F47" s="186"/>
      <c r="G47" s="205"/>
      <c r="M47" s="268"/>
    </row>
    <row r="48" spans="1:17" s="221" customFormat="1" ht="12.95" customHeight="1">
      <c r="A48" s="168"/>
      <c r="B48" s="168"/>
      <c r="C48" s="168"/>
      <c r="D48" s="168"/>
      <c r="E48" s="168"/>
      <c r="F48" s="186"/>
      <c r="G48" s="205"/>
      <c r="H48" s="168"/>
      <c r="I48" s="168"/>
      <c r="J48" s="168"/>
      <c r="K48" s="168"/>
      <c r="L48" s="168"/>
      <c r="M48" s="268"/>
      <c r="O48" s="168"/>
      <c r="P48" s="168"/>
      <c r="Q48" s="168"/>
    </row>
    <row r="49" spans="1:17" s="221" customFormat="1" ht="12.95" customHeight="1">
      <c r="A49" s="168"/>
      <c r="B49" s="168"/>
      <c r="C49" s="168"/>
      <c r="D49" s="168"/>
      <c r="E49" s="168"/>
      <c r="F49" s="186"/>
      <c r="G49" s="205"/>
      <c r="H49" s="168"/>
      <c r="I49" s="168"/>
      <c r="J49" s="168"/>
      <c r="K49" s="168"/>
      <c r="L49" s="168"/>
      <c r="M49" s="268"/>
      <c r="O49" s="168"/>
      <c r="P49" s="168"/>
      <c r="Q49" s="168"/>
    </row>
    <row r="50" spans="1:17" s="221" customFormat="1" ht="12.95" customHeight="1">
      <c r="A50" s="168"/>
      <c r="B50" s="168"/>
      <c r="C50" s="168"/>
      <c r="D50" s="168"/>
      <c r="E50" s="168"/>
      <c r="F50" s="186"/>
      <c r="G50" s="205"/>
      <c r="H50" s="168"/>
      <c r="I50" s="168"/>
      <c r="J50" s="168"/>
      <c r="K50" s="168"/>
      <c r="L50" s="168"/>
      <c r="M50" s="268"/>
      <c r="O50" s="168"/>
      <c r="P50" s="168"/>
      <c r="Q50" s="168"/>
    </row>
    <row r="51" spans="1:17" s="221" customFormat="1" ht="12.95" customHeight="1">
      <c r="A51" s="168"/>
      <c r="B51" s="168"/>
      <c r="C51" s="168"/>
      <c r="D51" s="168"/>
      <c r="E51" s="168"/>
      <c r="F51" s="186"/>
      <c r="G51" s="205"/>
      <c r="H51" s="168"/>
      <c r="I51" s="168"/>
      <c r="J51" s="168"/>
      <c r="K51" s="168"/>
      <c r="L51" s="168"/>
      <c r="M51" s="268"/>
      <c r="O51" s="168"/>
      <c r="P51" s="168"/>
      <c r="Q51" s="168"/>
    </row>
    <row r="52" spans="1:17" s="221" customFormat="1" ht="12.95" customHeight="1">
      <c r="A52" s="168"/>
      <c r="B52" s="168"/>
      <c r="C52" s="168"/>
      <c r="D52" s="168"/>
      <c r="E52" s="168"/>
      <c r="F52" s="186"/>
      <c r="G52" s="205"/>
      <c r="H52" s="168"/>
      <c r="I52" s="168"/>
      <c r="J52" s="168"/>
      <c r="K52" s="168"/>
      <c r="L52" s="168"/>
      <c r="M52" s="268"/>
      <c r="O52" s="168"/>
      <c r="P52" s="168"/>
      <c r="Q52" s="168"/>
    </row>
    <row r="53" spans="1:17" s="221" customFormat="1" ht="12.95" customHeight="1">
      <c r="A53" s="168"/>
      <c r="B53" s="168"/>
      <c r="C53" s="168"/>
      <c r="D53" s="168"/>
      <c r="E53" s="168"/>
      <c r="F53" s="186"/>
      <c r="G53" s="205"/>
      <c r="H53" s="168"/>
      <c r="I53" s="168"/>
      <c r="J53" s="168"/>
      <c r="K53" s="168"/>
      <c r="L53" s="168"/>
      <c r="M53" s="268"/>
      <c r="O53" s="168"/>
      <c r="P53" s="168"/>
      <c r="Q53" s="168"/>
    </row>
    <row r="54" spans="1:17" s="221" customFormat="1" ht="12.95" customHeight="1">
      <c r="A54" s="168"/>
      <c r="B54" s="168"/>
      <c r="C54" s="168"/>
      <c r="D54" s="168"/>
      <c r="E54" s="168"/>
      <c r="F54" s="186"/>
      <c r="G54" s="205"/>
      <c r="H54" s="168"/>
      <c r="I54" s="168"/>
      <c r="J54" s="168"/>
      <c r="K54" s="168"/>
      <c r="L54" s="168"/>
      <c r="M54" s="268"/>
      <c r="O54" s="168"/>
      <c r="P54" s="168"/>
      <c r="Q54" s="168"/>
    </row>
    <row r="55" spans="1:17" s="221" customFormat="1" ht="12.95" customHeight="1">
      <c r="A55" s="168"/>
      <c r="B55" s="168"/>
      <c r="C55" s="168"/>
      <c r="D55" s="168"/>
      <c r="E55" s="168"/>
      <c r="F55" s="186"/>
      <c r="G55" s="205"/>
      <c r="H55" s="168"/>
      <c r="I55" s="168"/>
      <c r="J55" s="168"/>
      <c r="K55" s="168"/>
      <c r="L55" s="168"/>
      <c r="M55" s="268"/>
      <c r="O55" s="168"/>
      <c r="P55" s="168"/>
      <c r="Q55" s="168"/>
    </row>
    <row r="56" spans="1:17" s="221" customFormat="1" ht="12.95" customHeight="1">
      <c r="A56" s="168"/>
      <c r="B56" s="168"/>
      <c r="C56" s="168"/>
      <c r="D56" s="168"/>
      <c r="E56" s="168"/>
      <c r="F56" s="186"/>
      <c r="G56" s="205"/>
      <c r="H56" s="168"/>
      <c r="I56" s="168"/>
      <c r="J56" s="168"/>
      <c r="K56" s="168"/>
      <c r="L56" s="168"/>
      <c r="M56" s="268"/>
      <c r="O56" s="168"/>
      <c r="P56" s="168"/>
      <c r="Q56" s="168"/>
    </row>
    <row r="57" spans="1:17" s="221" customFormat="1" ht="12.95" customHeight="1">
      <c r="A57" s="168"/>
      <c r="B57" s="168"/>
      <c r="C57" s="168"/>
      <c r="D57" s="168"/>
      <c r="E57" s="168"/>
      <c r="F57" s="186"/>
      <c r="G57" s="205"/>
      <c r="H57" s="168"/>
      <c r="I57" s="168"/>
      <c r="J57" s="168"/>
      <c r="K57" s="168"/>
      <c r="L57" s="168"/>
      <c r="M57" s="268"/>
      <c r="O57" s="168"/>
      <c r="P57" s="168"/>
      <c r="Q57" s="168"/>
    </row>
    <row r="58" spans="1:17" s="221" customFormat="1" ht="12.95" customHeight="1">
      <c r="A58" s="168"/>
      <c r="B58" s="168"/>
      <c r="C58" s="168"/>
      <c r="D58" s="168"/>
      <c r="E58" s="168"/>
      <c r="F58" s="186"/>
      <c r="G58" s="205"/>
      <c r="H58" s="168"/>
      <c r="I58" s="168"/>
      <c r="J58" s="168"/>
      <c r="K58" s="168"/>
      <c r="L58" s="168"/>
      <c r="M58" s="268"/>
      <c r="O58" s="168"/>
      <c r="P58" s="168"/>
      <c r="Q58" s="168"/>
    </row>
    <row r="59" spans="1:17" s="221" customFormat="1" ht="12.95" customHeight="1">
      <c r="A59" s="168"/>
      <c r="B59" s="168"/>
      <c r="C59" s="168"/>
      <c r="D59" s="168"/>
      <c r="E59" s="168"/>
      <c r="F59" s="186"/>
      <c r="G59" s="205"/>
      <c r="H59" s="168"/>
      <c r="I59" s="168"/>
      <c r="J59" s="168"/>
      <c r="K59" s="168"/>
      <c r="L59" s="168"/>
      <c r="M59" s="268"/>
      <c r="O59" s="168"/>
      <c r="P59" s="168"/>
      <c r="Q59" s="168"/>
    </row>
    <row r="60" spans="1:17" s="221" customFormat="1" ht="17.100000000000001" customHeight="1">
      <c r="A60" s="168"/>
      <c r="B60" s="168"/>
      <c r="C60" s="168"/>
      <c r="D60" s="168"/>
      <c r="E60" s="168"/>
      <c r="F60" s="186"/>
      <c r="G60" s="205"/>
      <c r="H60" s="168"/>
      <c r="I60" s="168"/>
      <c r="J60" s="168"/>
      <c r="K60" s="168"/>
      <c r="L60" s="168"/>
      <c r="M60" s="268"/>
      <c r="O60" s="168"/>
      <c r="P60" s="168"/>
      <c r="Q60" s="168"/>
    </row>
    <row r="61" spans="1:17" s="221" customFormat="1" ht="14.25">
      <c r="A61" s="168"/>
      <c r="B61" s="168"/>
      <c r="C61" s="168"/>
      <c r="D61" s="168"/>
      <c r="E61" s="168"/>
      <c r="F61" s="186"/>
      <c r="G61" s="205"/>
      <c r="H61" s="168"/>
      <c r="I61" s="168"/>
      <c r="J61" s="168"/>
      <c r="K61" s="168"/>
      <c r="L61" s="168"/>
      <c r="M61" s="268"/>
      <c r="O61" s="168"/>
      <c r="P61" s="168"/>
      <c r="Q61" s="168"/>
    </row>
    <row r="62" spans="1:17" s="221" customFormat="1" ht="14.25">
      <c r="A62" s="168"/>
      <c r="B62" s="168"/>
      <c r="C62" s="168"/>
      <c r="D62" s="168"/>
      <c r="E62" s="168"/>
      <c r="F62" s="186"/>
      <c r="G62" s="205"/>
      <c r="H62" s="168"/>
      <c r="I62" s="168"/>
      <c r="J62" s="168"/>
      <c r="K62" s="168"/>
      <c r="L62" s="168"/>
      <c r="M62" s="268"/>
      <c r="O62" s="168"/>
      <c r="P62" s="168"/>
      <c r="Q62" s="168"/>
    </row>
    <row r="63" spans="1:17" s="221" customFormat="1" ht="14.25">
      <c r="A63" s="168"/>
      <c r="B63" s="168"/>
      <c r="C63" s="168"/>
      <c r="D63" s="168"/>
      <c r="E63" s="168"/>
      <c r="F63" s="186"/>
      <c r="G63" s="205"/>
      <c r="H63" s="168"/>
      <c r="I63" s="168"/>
      <c r="J63" s="168"/>
      <c r="K63" s="168"/>
      <c r="L63" s="168"/>
      <c r="M63" s="268"/>
      <c r="O63" s="168"/>
      <c r="P63" s="168"/>
      <c r="Q63" s="168"/>
    </row>
    <row r="64" spans="1:17" s="221" customFormat="1" ht="14.25">
      <c r="A64" s="168"/>
      <c r="B64" s="168"/>
      <c r="C64" s="168"/>
      <c r="D64" s="168"/>
      <c r="E64" s="168"/>
      <c r="F64" s="186"/>
      <c r="G64" s="205"/>
      <c r="H64" s="168"/>
      <c r="I64" s="168"/>
      <c r="J64" s="168"/>
      <c r="K64" s="168"/>
      <c r="L64" s="168"/>
      <c r="M64" s="268"/>
      <c r="O64" s="168"/>
      <c r="P64" s="168"/>
      <c r="Q64" s="168"/>
    </row>
    <row r="65" spans="1:17" s="221" customFormat="1" ht="14.25">
      <c r="A65" s="168"/>
      <c r="B65" s="168"/>
      <c r="C65" s="168"/>
      <c r="D65" s="168"/>
      <c r="E65" s="168"/>
      <c r="F65" s="186"/>
      <c r="G65" s="205"/>
      <c r="H65" s="168"/>
      <c r="I65" s="168"/>
      <c r="J65" s="168"/>
      <c r="K65" s="168"/>
      <c r="L65" s="168"/>
      <c r="M65" s="268"/>
      <c r="O65" s="168"/>
      <c r="P65" s="168"/>
      <c r="Q65" s="168"/>
    </row>
    <row r="66" spans="1:17" s="221" customFormat="1" ht="14.25">
      <c r="A66" s="168"/>
      <c r="B66" s="168"/>
      <c r="C66" s="168"/>
      <c r="D66" s="168"/>
      <c r="E66" s="168"/>
      <c r="F66" s="186"/>
      <c r="G66" s="205"/>
      <c r="H66" s="168"/>
      <c r="I66" s="168"/>
      <c r="J66" s="168"/>
      <c r="K66" s="168"/>
      <c r="L66" s="168"/>
      <c r="M66" s="268"/>
      <c r="O66" s="168"/>
      <c r="P66" s="168"/>
      <c r="Q66" s="168"/>
    </row>
    <row r="67" spans="1:17" s="221" customFormat="1" ht="14.25">
      <c r="A67" s="168"/>
      <c r="B67" s="168"/>
      <c r="C67" s="168"/>
      <c r="D67" s="168"/>
      <c r="E67" s="168"/>
      <c r="F67" s="186"/>
      <c r="G67" s="205"/>
      <c r="H67" s="168"/>
      <c r="I67" s="168"/>
      <c r="J67" s="168"/>
      <c r="K67" s="168"/>
      <c r="L67" s="168"/>
      <c r="M67" s="268"/>
      <c r="O67" s="168"/>
      <c r="P67" s="168"/>
      <c r="Q67" s="168"/>
    </row>
    <row r="68" spans="1:17" s="221" customFormat="1" ht="14.25">
      <c r="A68" s="168"/>
      <c r="B68" s="168"/>
      <c r="C68" s="168"/>
      <c r="D68" s="168"/>
      <c r="E68" s="168"/>
      <c r="F68" s="186"/>
      <c r="G68" s="205"/>
      <c r="H68" s="168"/>
      <c r="I68" s="168"/>
      <c r="J68" s="168"/>
      <c r="K68" s="168"/>
      <c r="L68" s="168"/>
      <c r="M68" s="268"/>
      <c r="O68" s="168"/>
      <c r="P68" s="168"/>
      <c r="Q68" s="168"/>
    </row>
    <row r="69" spans="1:17" s="221" customFormat="1" ht="14.25">
      <c r="A69" s="168"/>
      <c r="B69" s="168"/>
      <c r="C69" s="168"/>
      <c r="D69" s="168"/>
      <c r="E69" s="168"/>
      <c r="F69" s="186"/>
      <c r="G69" s="205"/>
      <c r="H69" s="168"/>
      <c r="I69" s="168"/>
      <c r="J69" s="168"/>
      <c r="K69" s="168"/>
      <c r="L69" s="168"/>
      <c r="M69" s="268"/>
      <c r="O69" s="168"/>
      <c r="P69" s="168"/>
      <c r="Q69" s="168"/>
    </row>
    <row r="70" spans="1:17" s="221" customFormat="1" ht="14.25">
      <c r="A70" s="168"/>
      <c r="B70" s="168"/>
      <c r="C70" s="168"/>
      <c r="D70" s="168"/>
      <c r="E70" s="168"/>
      <c r="F70" s="186"/>
      <c r="G70" s="205"/>
      <c r="H70" s="168"/>
      <c r="I70" s="168"/>
      <c r="J70" s="168"/>
      <c r="K70" s="168"/>
      <c r="L70" s="168"/>
      <c r="M70" s="268"/>
      <c r="O70" s="168"/>
      <c r="P70" s="168"/>
      <c r="Q70" s="168"/>
    </row>
    <row r="71" spans="1:17" s="221" customFormat="1" ht="14.25">
      <c r="A71" s="168"/>
      <c r="B71" s="168"/>
      <c r="C71" s="168"/>
      <c r="D71" s="168"/>
      <c r="E71" s="168"/>
      <c r="F71" s="186"/>
      <c r="G71" s="205"/>
      <c r="H71" s="168"/>
      <c r="I71" s="168"/>
      <c r="J71" s="168"/>
      <c r="K71" s="168"/>
      <c r="L71" s="168"/>
      <c r="M71" s="268"/>
      <c r="O71" s="168"/>
      <c r="P71" s="168"/>
      <c r="Q71" s="168"/>
    </row>
    <row r="72" spans="1:17" s="221" customFormat="1" ht="14.25">
      <c r="A72" s="168"/>
      <c r="B72" s="168"/>
      <c r="C72" s="168"/>
      <c r="D72" s="168"/>
      <c r="E72" s="168"/>
      <c r="F72" s="186"/>
      <c r="G72" s="205"/>
      <c r="H72" s="168"/>
      <c r="I72" s="168"/>
      <c r="J72" s="168"/>
      <c r="K72" s="168"/>
      <c r="L72" s="168"/>
      <c r="M72" s="268"/>
      <c r="O72" s="168"/>
      <c r="P72" s="168"/>
      <c r="Q72" s="168"/>
    </row>
    <row r="73" spans="1:17" s="221" customFormat="1" ht="14.25">
      <c r="A73" s="168"/>
      <c r="B73" s="168"/>
      <c r="C73" s="168"/>
      <c r="D73" s="168"/>
      <c r="E73" s="168"/>
      <c r="F73" s="186"/>
      <c r="G73" s="205"/>
      <c r="H73" s="168"/>
      <c r="I73" s="168"/>
      <c r="J73" s="168"/>
      <c r="K73" s="168"/>
      <c r="L73" s="168"/>
      <c r="M73" s="268"/>
      <c r="O73" s="168"/>
      <c r="P73" s="168"/>
      <c r="Q73" s="168"/>
    </row>
    <row r="74" spans="1:17" s="221" customFormat="1" ht="14.25">
      <c r="A74" s="168"/>
      <c r="B74" s="168"/>
      <c r="C74" s="168"/>
      <c r="D74" s="168"/>
      <c r="E74" s="168"/>
      <c r="F74" s="186"/>
      <c r="G74" s="186"/>
      <c r="H74" s="168"/>
      <c r="I74" s="168"/>
      <c r="J74" s="168"/>
      <c r="K74" s="168"/>
      <c r="L74" s="168"/>
      <c r="M74" s="268"/>
      <c r="O74" s="168"/>
      <c r="P74" s="168"/>
      <c r="Q74" s="168"/>
    </row>
    <row r="75" spans="1:17" s="221" customFormat="1" ht="14.25">
      <c r="A75" s="168"/>
      <c r="B75" s="168"/>
      <c r="C75" s="168"/>
      <c r="D75" s="168"/>
      <c r="E75" s="168"/>
      <c r="F75" s="186"/>
      <c r="G75" s="186"/>
      <c r="H75" s="168"/>
      <c r="I75" s="168"/>
      <c r="J75" s="168"/>
      <c r="K75" s="168"/>
      <c r="L75" s="168"/>
      <c r="M75" s="268"/>
      <c r="O75" s="168"/>
      <c r="P75" s="168"/>
      <c r="Q75" s="168"/>
    </row>
    <row r="76" spans="1:17" s="221" customFormat="1" ht="14.25">
      <c r="A76" s="168"/>
      <c r="B76" s="168"/>
      <c r="C76" s="168"/>
      <c r="D76" s="168"/>
      <c r="E76" s="168"/>
      <c r="F76" s="186"/>
      <c r="G76" s="186"/>
      <c r="H76" s="168"/>
      <c r="I76" s="168"/>
      <c r="J76" s="168"/>
      <c r="K76" s="168"/>
      <c r="L76" s="168"/>
      <c r="M76" s="268"/>
      <c r="O76" s="168"/>
      <c r="P76" s="168"/>
      <c r="Q76" s="168"/>
    </row>
    <row r="77" spans="1:17" s="221" customFormat="1" ht="14.25">
      <c r="A77" s="168"/>
      <c r="B77" s="168"/>
      <c r="C77" s="168"/>
      <c r="D77" s="168"/>
      <c r="E77" s="168"/>
      <c r="F77" s="186"/>
      <c r="G77" s="186"/>
      <c r="H77" s="168"/>
      <c r="I77" s="168"/>
      <c r="J77" s="168"/>
      <c r="K77" s="168"/>
      <c r="L77" s="168"/>
      <c r="M77" s="268"/>
      <c r="O77" s="168"/>
      <c r="P77" s="168"/>
      <c r="Q77" s="168"/>
    </row>
    <row r="78" spans="1:17" s="221" customFormat="1" ht="14.25">
      <c r="A78" s="168"/>
      <c r="B78" s="168"/>
      <c r="C78" s="168"/>
      <c r="D78" s="168"/>
      <c r="E78" s="168"/>
      <c r="F78" s="186"/>
      <c r="G78" s="186"/>
      <c r="H78" s="168"/>
      <c r="I78" s="168"/>
      <c r="J78" s="168"/>
      <c r="K78" s="168"/>
      <c r="L78" s="168"/>
      <c r="M78" s="268"/>
      <c r="O78" s="168"/>
      <c r="P78" s="168"/>
      <c r="Q78" s="168"/>
    </row>
    <row r="79" spans="1:17" s="221" customFormat="1" ht="14.25">
      <c r="A79" s="168"/>
      <c r="B79" s="168"/>
      <c r="C79" s="168"/>
      <c r="D79" s="168"/>
      <c r="E79" s="168"/>
      <c r="F79" s="186"/>
      <c r="G79" s="186"/>
      <c r="H79" s="168"/>
      <c r="I79" s="168"/>
      <c r="J79" s="168"/>
      <c r="K79" s="168"/>
      <c r="L79" s="168"/>
      <c r="M79" s="268"/>
      <c r="O79" s="168"/>
      <c r="P79" s="168"/>
      <c r="Q79" s="168"/>
    </row>
    <row r="80" spans="1:17" s="221" customFormat="1" ht="14.25">
      <c r="A80" s="168"/>
      <c r="B80" s="168"/>
      <c r="C80" s="168"/>
      <c r="D80" s="168"/>
      <c r="E80" s="168"/>
      <c r="F80" s="186"/>
      <c r="G80" s="186"/>
      <c r="H80" s="168"/>
      <c r="I80" s="168"/>
      <c r="J80" s="168"/>
      <c r="K80" s="168"/>
      <c r="L80" s="168"/>
      <c r="M80" s="268"/>
      <c r="O80" s="168"/>
      <c r="P80" s="168"/>
      <c r="Q80" s="168"/>
    </row>
    <row r="81" spans="1:17" s="221" customFormat="1" ht="14.25">
      <c r="A81" s="168"/>
      <c r="B81" s="168"/>
      <c r="C81" s="168"/>
      <c r="D81" s="168"/>
      <c r="E81" s="168"/>
      <c r="F81" s="186"/>
      <c r="G81" s="186"/>
      <c r="H81" s="168"/>
      <c r="I81" s="168"/>
      <c r="J81" s="168"/>
      <c r="K81" s="168"/>
      <c r="L81" s="168"/>
      <c r="M81" s="268"/>
      <c r="O81" s="168"/>
      <c r="P81" s="168"/>
      <c r="Q81" s="168"/>
    </row>
    <row r="82" spans="1:17" s="221" customFormat="1" ht="14.25">
      <c r="A82" s="168"/>
      <c r="B82" s="168"/>
      <c r="C82" s="168"/>
      <c r="D82" s="168"/>
      <c r="E82" s="168"/>
      <c r="F82" s="186"/>
      <c r="G82" s="186"/>
      <c r="H82" s="168"/>
      <c r="I82" s="168"/>
      <c r="J82" s="168"/>
      <c r="K82" s="168"/>
      <c r="L82" s="168"/>
      <c r="M82" s="268"/>
      <c r="O82" s="168"/>
      <c r="P82" s="168"/>
      <c r="Q82" s="168"/>
    </row>
    <row r="83" spans="1:17" s="221" customFormat="1" ht="14.25">
      <c r="A83" s="168"/>
      <c r="B83" s="168"/>
      <c r="C83" s="168"/>
      <c r="D83" s="168"/>
      <c r="E83" s="168"/>
      <c r="F83" s="186"/>
      <c r="G83" s="186"/>
      <c r="H83" s="168"/>
      <c r="I83" s="168"/>
      <c r="J83" s="168"/>
      <c r="K83" s="168"/>
      <c r="L83" s="168"/>
      <c r="M83" s="268"/>
      <c r="O83" s="168"/>
      <c r="P83" s="168"/>
      <c r="Q83" s="168"/>
    </row>
    <row r="84" spans="1:17" s="221" customFormat="1" ht="14.25">
      <c r="A84" s="168"/>
      <c r="B84" s="168"/>
      <c r="C84" s="168"/>
      <c r="D84" s="168"/>
      <c r="E84" s="168"/>
      <c r="F84" s="186"/>
      <c r="G84" s="186"/>
      <c r="H84" s="168"/>
      <c r="I84" s="168"/>
      <c r="J84" s="168"/>
      <c r="K84" s="168"/>
      <c r="L84" s="168"/>
      <c r="M84" s="268"/>
      <c r="O84" s="168"/>
      <c r="P84" s="168"/>
      <c r="Q84" s="168"/>
    </row>
    <row r="85" spans="1:17" s="221" customFormat="1" ht="14.25">
      <c r="A85" s="168"/>
      <c r="B85" s="168"/>
      <c r="C85" s="168"/>
      <c r="D85" s="168"/>
      <c r="E85" s="168"/>
      <c r="F85" s="186"/>
      <c r="G85" s="186"/>
      <c r="H85" s="168"/>
      <c r="I85" s="168"/>
      <c r="J85" s="168"/>
      <c r="K85" s="168"/>
      <c r="L85" s="168"/>
      <c r="M85" s="268"/>
      <c r="O85" s="168"/>
      <c r="P85" s="168"/>
      <c r="Q85" s="168"/>
    </row>
    <row r="86" spans="1:17" s="221" customFormat="1" ht="14.25">
      <c r="A86" s="168"/>
      <c r="B86" s="168"/>
      <c r="C86" s="168"/>
      <c r="D86" s="168"/>
      <c r="E86" s="168"/>
      <c r="F86" s="186"/>
      <c r="G86" s="186"/>
      <c r="H86" s="168"/>
      <c r="I86" s="168"/>
      <c r="J86" s="168"/>
      <c r="K86" s="168"/>
      <c r="L86" s="168"/>
      <c r="M86" s="268"/>
      <c r="O86" s="168"/>
      <c r="P86" s="168"/>
      <c r="Q86" s="168"/>
    </row>
    <row r="87" spans="1:17" s="221" customFormat="1" ht="14.25">
      <c r="A87" s="168"/>
      <c r="B87" s="168"/>
      <c r="C87" s="168"/>
      <c r="D87" s="168"/>
      <c r="E87" s="168"/>
      <c r="F87" s="186"/>
      <c r="G87" s="186"/>
      <c r="H87" s="168"/>
      <c r="I87" s="168"/>
      <c r="J87" s="168"/>
      <c r="K87" s="168"/>
      <c r="L87" s="168"/>
      <c r="M87" s="268"/>
      <c r="O87" s="168"/>
      <c r="P87" s="168"/>
      <c r="Q87" s="168"/>
    </row>
    <row r="88" spans="1:17" s="221" customFormat="1" ht="14.25">
      <c r="A88" s="168"/>
      <c r="B88" s="168"/>
      <c r="C88" s="168"/>
      <c r="D88" s="168"/>
      <c r="E88" s="168"/>
      <c r="F88" s="186"/>
      <c r="G88" s="186"/>
      <c r="H88" s="168"/>
      <c r="I88" s="168"/>
      <c r="J88" s="168"/>
      <c r="K88" s="168"/>
      <c r="L88" s="168"/>
      <c r="M88" s="268"/>
      <c r="O88" s="168"/>
      <c r="P88" s="168"/>
      <c r="Q88" s="168"/>
    </row>
    <row r="89" spans="1:17" s="221" customFormat="1" ht="14.25">
      <c r="A89" s="168"/>
      <c r="B89" s="168"/>
      <c r="C89" s="168"/>
      <c r="D89" s="168"/>
      <c r="E89" s="168"/>
      <c r="F89" s="186"/>
      <c r="G89" s="186"/>
      <c r="H89" s="168"/>
      <c r="I89" s="168"/>
      <c r="J89" s="168"/>
      <c r="K89" s="168"/>
      <c r="L89" s="168"/>
      <c r="M89" s="268"/>
      <c r="O89" s="168"/>
      <c r="P89" s="168"/>
      <c r="Q89" s="168"/>
    </row>
    <row r="90" spans="1:17" s="221" customFormat="1" ht="14.25">
      <c r="A90" s="168"/>
      <c r="B90" s="168"/>
      <c r="C90" s="168"/>
      <c r="D90" s="168"/>
      <c r="E90" s="168"/>
      <c r="F90" s="186"/>
      <c r="G90" s="186"/>
      <c r="H90" s="168"/>
      <c r="I90" s="168"/>
      <c r="J90" s="168"/>
      <c r="K90" s="168"/>
      <c r="L90" s="168"/>
      <c r="M90" s="268"/>
      <c r="O90" s="168"/>
      <c r="P90" s="168"/>
      <c r="Q90" s="168"/>
    </row>
    <row r="91" spans="1:17" s="221" customFormat="1">
      <c r="A91" s="168"/>
      <c r="B91" s="168"/>
      <c r="C91" s="168"/>
      <c r="D91" s="168"/>
      <c r="E91" s="168"/>
      <c r="F91" s="173"/>
      <c r="G91" s="186"/>
      <c r="H91" s="168"/>
      <c r="I91" s="168"/>
      <c r="J91" s="168"/>
      <c r="K91" s="168"/>
      <c r="L91" s="168"/>
      <c r="M91" s="168"/>
      <c r="O91" s="168"/>
      <c r="P91" s="168"/>
      <c r="Q91" s="168"/>
    </row>
    <row r="92" spans="1:17" s="221" customFormat="1">
      <c r="A92" s="168"/>
      <c r="B92" s="168"/>
      <c r="C92" s="168"/>
      <c r="D92" s="168"/>
      <c r="E92" s="168"/>
      <c r="F92" s="173"/>
      <c r="G92" s="186"/>
      <c r="H92" s="168"/>
      <c r="I92" s="168"/>
      <c r="J92" s="168"/>
      <c r="K92" s="168"/>
      <c r="L92" s="168"/>
      <c r="M92" s="168"/>
      <c r="O92" s="168"/>
      <c r="P92" s="168"/>
      <c r="Q92" s="168"/>
    </row>
    <row r="93" spans="1:17" s="221" customFormat="1">
      <c r="A93" s="168"/>
      <c r="B93" s="168"/>
      <c r="C93" s="168"/>
      <c r="D93" s="168"/>
      <c r="E93" s="168"/>
      <c r="F93" s="173"/>
      <c r="G93" s="186"/>
      <c r="H93" s="168"/>
      <c r="I93" s="168"/>
      <c r="J93" s="168"/>
      <c r="K93" s="168"/>
      <c r="L93" s="168"/>
      <c r="M93" s="168"/>
      <c r="O93" s="168"/>
      <c r="P93" s="168"/>
      <c r="Q93" s="168"/>
    </row>
    <row r="94" spans="1:17" s="221" customFormat="1">
      <c r="A94" s="168"/>
      <c r="B94" s="168"/>
      <c r="C94" s="168"/>
      <c r="D94" s="168"/>
      <c r="E94" s="168"/>
      <c r="F94" s="173"/>
      <c r="G94" s="186"/>
      <c r="H94" s="168"/>
      <c r="I94" s="168"/>
      <c r="J94" s="168"/>
      <c r="K94" s="168"/>
      <c r="L94" s="168"/>
      <c r="M94" s="168"/>
      <c r="O94" s="168"/>
      <c r="P94" s="168"/>
      <c r="Q94" s="168"/>
    </row>
    <row r="95" spans="1:17" s="221" customFormat="1">
      <c r="A95" s="168"/>
      <c r="B95" s="168"/>
      <c r="C95" s="168"/>
      <c r="D95" s="168"/>
      <c r="E95" s="168"/>
      <c r="F95" s="173"/>
      <c r="G95" s="186"/>
      <c r="H95" s="168"/>
      <c r="I95" s="168"/>
      <c r="J95" s="168"/>
      <c r="K95" s="168"/>
      <c r="L95" s="168"/>
      <c r="M95" s="168"/>
      <c r="O95" s="168"/>
      <c r="P95" s="168"/>
      <c r="Q95" s="168"/>
    </row>
    <row r="96" spans="1:17">
      <c r="G96" s="186"/>
    </row>
  </sheetData>
  <mergeCells count="13">
    <mergeCell ref="K4:M4"/>
    <mergeCell ref="N4:N5"/>
    <mergeCell ref="B2:M2"/>
    <mergeCell ref="H3:I3"/>
    <mergeCell ref="B4:B5"/>
    <mergeCell ref="C4:C5"/>
    <mergeCell ref="D4:D5"/>
    <mergeCell ref="F4:F5"/>
    <mergeCell ref="G4:G5"/>
    <mergeCell ref="H4:H5"/>
    <mergeCell ref="I4:I5"/>
    <mergeCell ref="J4:J5"/>
    <mergeCell ref="E4:E5"/>
  </mergeCells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Q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7" ht="13.5" thickBot="1"/>
    <row r="2" spans="1:17" s="252" customFormat="1" ht="20.100000000000001" customHeight="1" thickTop="1" thickBot="1">
      <c r="B2" s="876" t="s">
        <v>643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1:17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7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7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7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7" s="2" customFormat="1" ht="12.95" customHeight="1">
      <c r="A7" s="166"/>
      <c r="B7" s="6" t="s">
        <v>116</v>
      </c>
      <c r="C7" s="7" t="s">
        <v>80</v>
      </c>
      <c r="D7" s="7" t="s">
        <v>81</v>
      </c>
      <c r="E7" s="459" t="s">
        <v>725</v>
      </c>
      <c r="F7" s="5"/>
      <c r="G7" s="167"/>
      <c r="H7" s="5"/>
      <c r="I7" s="5"/>
      <c r="J7" s="5"/>
      <c r="K7" s="4"/>
      <c r="L7" s="167"/>
      <c r="M7" s="260"/>
      <c r="N7" s="216"/>
    </row>
    <row r="8" spans="1:17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35">
        <f t="shared" ref="I8:J8" si="0">SUM(I9:I12)</f>
        <v>373400</v>
      </c>
      <c r="J8" s="235">
        <f t="shared" si="0"/>
        <v>373400</v>
      </c>
      <c r="K8" s="532">
        <f>SUM(K9:K12)</f>
        <v>376800</v>
      </c>
      <c r="L8" s="244">
        <f>SUM(L9:L12)</f>
        <v>0</v>
      </c>
      <c r="M8" s="261">
        <f>SUM(M9:M12)</f>
        <v>376800</v>
      </c>
      <c r="N8" s="217">
        <f t="shared" ref="N8:N31" si="1">IF(J8=0,"",M8/J8*100)</f>
        <v>100.91055168719872</v>
      </c>
    </row>
    <row r="9" spans="1:17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38">
        <v>298240</v>
      </c>
      <c r="J9" s="238">
        <v>298240</v>
      </c>
      <c r="K9" s="388">
        <f>295650+1300+790+450+6200</f>
        <v>304390</v>
      </c>
      <c r="L9" s="243">
        <v>0</v>
      </c>
      <c r="M9" s="262">
        <f>SUM(K9:L9)</f>
        <v>304390</v>
      </c>
      <c r="N9" s="218">
        <f t="shared" si="1"/>
        <v>102.06209763948497</v>
      </c>
      <c r="O9" s="45"/>
    </row>
    <row r="10" spans="1:17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38">
        <v>75160</v>
      </c>
      <c r="J10" s="238">
        <v>75160</v>
      </c>
      <c r="K10" s="388">
        <f>68660+1000+1750+1000</f>
        <v>72410</v>
      </c>
      <c r="L10" s="243">
        <v>0</v>
      </c>
      <c r="M10" s="262">
        <f t="shared" ref="M10:M11" si="2">SUM(K10:L10)</f>
        <v>72410</v>
      </c>
      <c r="N10" s="218">
        <f t="shared" si="1"/>
        <v>96.34113890367216</v>
      </c>
    </row>
    <row r="11" spans="1:17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38">
        <v>0</v>
      </c>
      <c r="J11" s="238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7" ht="12.95" customHeight="1">
      <c r="B12" s="10"/>
      <c r="C12" s="11"/>
      <c r="D12" s="11"/>
      <c r="E12" s="170"/>
      <c r="F12" s="184"/>
      <c r="G12" s="203"/>
      <c r="H12" s="472"/>
      <c r="I12" s="238"/>
      <c r="J12" s="238"/>
      <c r="K12" s="388"/>
      <c r="L12" s="243"/>
      <c r="M12" s="262"/>
      <c r="N12" s="218" t="str">
        <f t="shared" si="1"/>
        <v/>
      </c>
      <c r="P12" s="45"/>
    </row>
    <row r="13" spans="1:17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35">
        <f t="shared" ref="I13:J13" si="3">I14</f>
        <v>32110</v>
      </c>
      <c r="J13" s="235">
        <f t="shared" si="3"/>
        <v>32110</v>
      </c>
      <c r="K13" s="532">
        <f>K14</f>
        <v>32500</v>
      </c>
      <c r="L13" s="244">
        <f>L14</f>
        <v>0</v>
      </c>
      <c r="M13" s="261">
        <f>M14</f>
        <v>32500</v>
      </c>
      <c r="N13" s="217">
        <f t="shared" si="1"/>
        <v>101.21457489878543</v>
      </c>
      <c r="P13" s="54"/>
      <c r="Q13" s="54"/>
    </row>
    <row r="14" spans="1:17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38">
        <v>32110</v>
      </c>
      <c r="J14" s="238">
        <v>32110</v>
      </c>
      <c r="K14" s="388">
        <f>31060+600+90+50+700</f>
        <v>32500</v>
      </c>
      <c r="L14" s="243">
        <v>0</v>
      </c>
      <c r="M14" s="262">
        <f>SUM(K14:L14)</f>
        <v>32500</v>
      </c>
      <c r="N14" s="218">
        <f t="shared" si="1"/>
        <v>101.21457489878543</v>
      </c>
    </row>
    <row r="15" spans="1:17" ht="12.95" customHeight="1">
      <c r="B15" s="10"/>
      <c r="C15" s="11"/>
      <c r="D15" s="11"/>
      <c r="E15" s="170"/>
      <c r="F15" s="184"/>
      <c r="G15" s="203"/>
      <c r="H15" s="24"/>
      <c r="I15" s="238"/>
      <c r="J15" s="238"/>
      <c r="K15" s="388"/>
      <c r="L15" s="243"/>
      <c r="M15" s="263"/>
      <c r="N15" s="218" t="str">
        <f t="shared" si="1"/>
        <v/>
      </c>
    </row>
    <row r="16" spans="1:17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35">
        <f t="shared" ref="I16" si="4">SUM(I17:I26)</f>
        <v>384000</v>
      </c>
      <c r="J16" s="235">
        <f t="shared" ref="J16" si="5">SUM(J17:J26)</f>
        <v>384000</v>
      </c>
      <c r="K16" s="533">
        <f>SUM(K17:K26)</f>
        <v>385000</v>
      </c>
      <c r="L16" s="242">
        <f>SUM(L17:L26)</f>
        <v>0</v>
      </c>
      <c r="M16" s="264">
        <f>SUM(M17:M26)</f>
        <v>385000</v>
      </c>
      <c r="N16" s="217">
        <f t="shared" si="1"/>
        <v>100.26041666666667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38">
        <v>2000</v>
      </c>
      <c r="J17" s="238">
        <v>2000</v>
      </c>
      <c r="K17" s="388">
        <v>3000</v>
      </c>
      <c r="L17" s="243">
        <v>0</v>
      </c>
      <c r="M17" s="262">
        <f t="shared" ref="M17:M26" si="6">SUM(K17:L17)</f>
        <v>3000</v>
      </c>
      <c r="N17" s="218">
        <f t="shared" si="1"/>
        <v>150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38">
        <v>85000</v>
      </c>
      <c r="J18" s="238">
        <v>85000</v>
      </c>
      <c r="K18" s="389">
        <v>70000</v>
      </c>
      <c r="L18" s="239">
        <v>0</v>
      </c>
      <c r="M18" s="262">
        <f t="shared" si="6"/>
        <v>70000</v>
      </c>
      <c r="N18" s="218">
        <f t="shared" si="1"/>
        <v>82.35294117647058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38">
        <v>60000</v>
      </c>
      <c r="J19" s="238">
        <v>60000</v>
      </c>
      <c r="K19" s="389">
        <v>50000</v>
      </c>
      <c r="L19" s="239">
        <v>0</v>
      </c>
      <c r="M19" s="262">
        <f t="shared" si="6"/>
        <v>50000</v>
      </c>
      <c r="N19" s="218">
        <f t="shared" si="1"/>
        <v>83.333333333333343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38">
        <v>80000</v>
      </c>
      <c r="J20" s="238">
        <v>80000</v>
      </c>
      <c r="K20" s="389">
        <v>94000</v>
      </c>
      <c r="L20" s="239">
        <v>0</v>
      </c>
      <c r="M20" s="262">
        <f t="shared" si="6"/>
        <v>94000</v>
      </c>
      <c r="N20" s="218">
        <f t="shared" si="1"/>
        <v>117.5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38">
        <v>55000</v>
      </c>
      <c r="J21" s="238">
        <v>55000</v>
      </c>
      <c r="K21" s="389">
        <v>67000</v>
      </c>
      <c r="L21" s="239">
        <v>0</v>
      </c>
      <c r="M21" s="262">
        <f t="shared" si="6"/>
        <v>67000</v>
      </c>
      <c r="N21" s="218">
        <f t="shared" si="1"/>
        <v>121.81818181818183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38">
        <v>0</v>
      </c>
      <c r="J22" s="238">
        <v>0</v>
      </c>
      <c r="K22" s="389">
        <v>0</v>
      </c>
      <c r="L22" s="239">
        <v>0</v>
      </c>
      <c r="M22" s="262">
        <f t="shared" si="6"/>
        <v>0</v>
      </c>
      <c r="N22" s="218" t="str">
        <f t="shared" si="1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38">
        <v>38000</v>
      </c>
      <c r="J23" s="238">
        <v>38000</v>
      </c>
      <c r="K23" s="389">
        <v>32000</v>
      </c>
      <c r="L23" s="239">
        <v>0</v>
      </c>
      <c r="M23" s="262">
        <f t="shared" si="6"/>
        <v>32000</v>
      </c>
      <c r="N23" s="218">
        <f t="shared" si="1"/>
        <v>84.210526315789465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38">
        <v>9000</v>
      </c>
      <c r="J24" s="238">
        <v>9000</v>
      </c>
      <c r="K24" s="389">
        <v>9000</v>
      </c>
      <c r="L24" s="239">
        <v>0</v>
      </c>
      <c r="M24" s="262">
        <f t="shared" si="6"/>
        <v>9000</v>
      </c>
      <c r="N24" s="218">
        <f t="shared" si="1"/>
        <v>100</v>
      </c>
      <c r="O24" s="45"/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38">
        <v>55000</v>
      </c>
      <c r="J25" s="238">
        <v>55000</v>
      </c>
      <c r="K25" s="388">
        <v>60000</v>
      </c>
      <c r="L25" s="243">
        <v>0</v>
      </c>
      <c r="M25" s="262">
        <f t="shared" si="6"/>
        <v>60000</v>
      </c>
      <c r="N25" s="218">
        <f t="shared" si="1"/>
        <v>109.09090909090908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0">
        <v>0</v>
      </c>
      <c r="L26" s="241">
        <v>0</v>
      </c>
      <c r="M26" s="262">
        <f t="shared" si="6"/>
        <v>0</v>
      </c>
      <c r="N26" s="218" t="str">
        <f t="shared" si="1"/>
        <v/>
      </c>
    </row>
    <row r="27" spans="1:15" s="1" customFormat="1" ht="12.95" customHeight="1">
      <c r="A27" s="165"/>
      <c r="B27" s="12"/>
      <c r="C27" s="8"/>
      <c r="D27" s="8"/>
      <c r="E27" s="458"/>
      <c r="F27" s="194"/>
      <c r="G27" s="214"/>
      <c r="H27" s="25"/>
      <c r="I27" s="238"/>
      <c r="J27" s="238"/>
      <c r="K27" s="389"/>
      <c r="L27" s="239"/>
      <c r="M27" s="263"/>
      <c r="N27" s="218" t="str">
        <f t="shared" si="1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35">
        <f t="shared" ref="I28" si="7">SUM(I29:I30)</f>
        <v>130000</v>
      </c>
      <c r="J28" s="235">
        <f t="shared" ref="J28" si="8">SUM(J29:J30)</f>
        <v>130000</v>
      </c>
      <c r="K28" s="534">
        <f>SUM(K29:K30)</f>
        <v>53000</v>
      </c>
      <c r="L28" s="240">
        <f>SUM(L29:L30)</f>
        <v>0</v>
      </c>
      <c r="M28" s="264">
        <f>SUM(M29:M30)</f>
        <v>53000</v>
      </c>
      <c r="N28" s="217">
        <f t="shared" si="1"/>
        <v>40.769230769230766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38">
        <v>0</v>
      </c>
      <c r="J29" s="238">
        <v>0</v>
      </c>
      <c r="K29" s="388">
        <v>0</v>
      </c>
      <c r="L29" s="243">
        <v>0</v>
      </c>
      <c r="M29" s="262">
        <f t="shared" ref="M29:M30" si="9">SUM(K29:L29)</f>
        <v>0</v>
      </c>
      <c r="N29" s="218" t="str">
        <f t="shared" si="1"/>
        <v/>
      </c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38">
        <v>130000</v>
      </c>
      <c r="J30" s="238">
        <v>130000</v>
      </c>
      <c r="K30" s="388">
        <v>53000</v>
      </c>
      <c r="L30" s="243">
        <v>0</v>
      </c>
      <c r="M30" s="262">
        <f t="shared" si="9"/>
        <v>53000</v>
      </c>
      <c r="N30" s="218">
        <f t="shared" si="1"/>
        <v>40.769230769230766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35"/>
      <c r="J31" s="235"/>
      <c r="K31" s="534"/>
      <c r="L31" s="240"/>
      <c r="M31" s="264"/>
      <c r="N31" s="218" t="str">
        <f t="shared" si="1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35">
        <v>19</v>
      </c>
      <c r="J32" s="235">
        <v>19</v>
      </c>
      <c r="K32" s="532">
        <v>19</v>
      </c>
      <c r="L32" s="244"/>
      <c r="M32" s="264">
        <v>19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919510</v>
      </c>
      <c r="J33" s="172">
        <f>J8+J13+J16+J28</f>
        <v>919510</v>
      </c>
      <c r="K33" s="401">
        <f>K8+K13+K16+K28</f>
        <v>847300</v>
      </c>
      <c r="L33" s="172">
        <f>L8+L13+L16+L28</f>
        <v>0</v>
      </c>
      <c r="M33" s="264">
        <f>M8+M13+M16+M28</f>
        <v>847300</v>
      </c>
      <c r="N33" s="217">
        <f>IF(J33=0,"",M33/J33*100)</f>
        <v>92.146904329479824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>
        <f>I33</f>
        <v>919510</v>
      </c>
      <c r="J34" s="15">
        <f>J33</f>
        <v>919510</v>
      </c>
      <c r="K34" s="401">
        <f t="shared" ref="K34:M35" si="10">K33</f>
        <v>847300</v>
      </c>
      <c r="L34" s="172">
        <f t="shared" si="10"/>
        <v>0</v>
      </c>
      <c r="M34" s="264">
        <f t="shared" si="10"/>
        <v>847300</v>
      </c>
      <c r="N34" s="217">
        <f>IF(J34=0,"",M34/J34*100)</f>
        <v>92.146904329479824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</f>
        <v>919510</v>
      </c>
      <c r="J35" s="15">
        <f>J34</f>
        <v>919510</v>
      </c>
      <c r="K35" s="401">
        <f t="shared" si="10"/>
        <v>847300</v>
      </c>
      <c r="L35" s="172">
        <f t="shared" si="10"/>
        <v>0</v>
      </c>
      <c r="M35" s="264">
        <f t="shared" si="10"/>
        <v>847300</v>
      </c>
      <c r="N35" s="217">
        <f>IF(J35=0,"",M35/J35*100)</f>
        <v>92.146904329479824</v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17"/>
      <c r="J36" s="17"/>
      <c r="K36" s="16"/>
      <c r="L36" s="17"/>
      <c r="M36" s="271"/>
      <c r="N36" s="220"/>
    </row>
    <row r="37" spans="1:14" ht="12.95" customHeight="1">
      <c r="F37" s="186"/>
      <c r="G37" s="205"/>
      <c r="K37" s="441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P97"/>
  <sheetViews>
    <sheetView workbookViewId="0">
      <selection activeCell="S22" sqref="S22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5" width="9.140625" style="9"/>
    <col min="16" max="16" width="9.5703125" style="9" bestFit="1" customWidth="1"/>
    <col min="17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117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118</v>
      </c>
      <c r="C7" s="7" t="s">
        <v>80</v>
      </c>
      <c r="D7" s="7" t="s">
        <v>81</v>
      </c>
      <c r="E7" s="459" t="s">
        <v>726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5749960</v>
      </c>
      <c r="J8" s="244">
        <f t="shared" ref="J8" si="1">SUM(J9:J12)</f>
        <v>5749960</v>
      </c>
      <c r="K8" s="532">
        <f>SUM(K9:K12)</f>
        <v>5976060</v>
      </c>
      <c r="L8" s="244">
        <f>SUM(L9:L12)</f>
        <v>0</v>
      </c>
      <c r="M8" s="261">
        <f>SUM(M9:M12)</f>
        <v>5976060</v>
      </c>
      <c r="N8" s="217">
        <f t="shared" ref="N8:N32" si="2">IF(J8=0,"",M8/J8*100)</f>
        <v>103.93220126748707</v>
      </c>
      <c r="P8" s="52"/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4809820</v>
      </c>
      <c r="J9" s="243">
        <v>4809820</v>
      </c>
      <c r="K9" s="388">
        <f>5044600+10000+7340+12*790+6900</f>
        <v>5078320</v>
      </c>
      <c r="L9" s="243">
        <v>0</v>
      </c>
      <c r="M9" s="262">
        <f>SUM(K9:L9)</f>
        <v>5078320</v>
      </c>
      <c r="N9" s="218">
        <f t="shared" si="2"/>
        <v>105.58232948426345</v>
      </c>
      <c r="O9" s="59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3">
        <v>940140</v>
      </c>
      <c r="J10" s="243">
        <v>940140</v>
      </c>
      <c r="K10" s="388">
        <f>863830+2000+10910+12*1750</f>
        <v>897740</v>
      </c>
      <c r="L10" s="243">
        <v>0</v>
      </c>
      <c r="M10" s="262">
        <f t="shared" ref="M10:M11" si="3">SUM(K10:L10)</f>
        <v>897740</v>
      </c>
      <c r="N10" s="218">
        <f t="shared" si="2"/>
        <v>95.490033399280961</v>
      </c>
      <c r="O10" s="60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3"/>
      <c r="J12" s="243"/>
      <c r="K12" s="388"/>
      <c r="L12" s="243"/>
      <c r="M12" s="262"/>
      <c r="N12" s="218" t="str">
        <f t="shared" si="2"/>
        <v/>
      </c>
      <c r="O12" s="60"/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>SUM(I14:I15)</f>
        <v>941110</v>
      </c>
      <c r="J13" s="244">
        <f>SUM(J14:J15)</f>
        <v>941110</v>
      </c>
      <c r="K13" s="532">
        <f t="shared" ref="K13:M13" si="4">SUM(K14:K15)</f>
        <v>880400</v>
      </c>
      <c r="L13" s="244">
        <f t="shared" si="4"/>
        <v>0</v>
      </c>
      <c r="M13" s="261">
        <f t="shared" si="4"/>
        <v>880400</v>
      </c>
      <c r="N13" s="217">
        <f t="shared" si="2"/>
        <v>93.549106905675217</v>
      </c>
      <c r="O13" s="61"/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741110</v>
      </c>
      <c r="J14" s="243">
        <v>741110</v>
      </c>
      <c r="K14" s="388">
        <f>774600+4000+12*90+720</f>
        <v>780400</v>
      </c>
      <c r="L14" s="243">
        <v>0</v>
      </c>
      <c r="M14" s="262">
        <f>SUM(K14:L14)</f>
        <v>780400</v>
      </c>
      <c r="N14" s="218">
        <f t="shared" si="2"/>
        <v>105.30150719866147</v>
      </c>
      <c r="O14" s="59"/>
    </row>
    <row r="15" spans="1:16" s="168" customFormat="1" ht="12.95" customHeight="1">
      <c r="B15" s="169"/>
      <c r="C15" s="170"/>
      <c r="D15" s="170"/>
      <c r="E15" s="170"/>
      <c r="F15" s="184">
        <v>612100</v>
      </c>
      <c r="G15" s="206" t="s">
        <v>923</v>
      </c>
      <c r="H15" s="482" t="s">
        <v>838</v>
      </c>
      <c r="I15" s="243">
        <v>200000</v>
      </c>
      <c r="J15" s="243">
        <v>200000</v>
      </c>
      <c r="K15" s="388">
        <v>100000</v>
      </c>
      <c r="L15" s="243">
        <v>0</v>
      </c>
      <c r="M15" s="262">
        <f>SUM(K15:L15)</f>
        <v>100000</v>
      </c>
      <c r="N15" s="218">
        <f t="shared" ref="N15" si="5">IF(J15=0,"",M15/J15*100)</f>
        <v>50</v>
      </c>
      <c r="O15" s="59"/>
    </row>
    <row r="16" spans="1:16" ht="12.95" customHeight="1">
      <c r="B16" s="10"/>
      <c r="C16" s="11"/>
      <c r="D16" s="11"/>
      <c r="E16" s="170"/>
      <c r="F16" s="184"/>
      <c r="G16" s="203"/>
      <c r="H16" s="472"/>
      <c r="I16" s="243"/>
      <c r="J16" s="243"/>
      <c r="K16" s="388"/>
      <c r="L16" s="243"/>
      <c r="M16" s="263"/>
      <c r="N16" s="218" t="str">
        <f t="shared" si="2"/>
        <v/>
      </c>
      <c r="O16" s="60"/>
    </row>
    <row r="17" spans="1:15" s="1" customFormat="1" ht="12.95" customHeight="1">
      <c r="A17" s="165"/>
      <c r="B17" s="12"/>
      <c r="C17" s="8"/>
      <c r="D17" s="8"/>
      <c r="E17" s="8"/>
      <c r="F17" s="183">
        <v>613000</v>
      </c>
      <c r="G17" s="202"/>
      <c r="H17" s="25" t="s">
        <v>142</v>
      </c>
      <c r="I17" s="244">
        <f t="shared" ref="I17" si="6">SUM(I18:I27)</f>
        <v>747500</v>
      </c>
      <c r="J17" s="244">
        <f t="shared" ref="J17" si="7">SUM(J18:J27)</f>
        <v>747500</v>
      </c>
      <c r="K17" s="532">
        <f>SUM(K18:K27)</f>
        <v>784000</v>
      </c>
      <c r="L17" s="244">
        <f>SUM(L18:L27)</f>
        <v>0</v>
      </c>
      <c r="M17" s="264">
        <f>SUM(M18:M27)</f>
        <v>784000</v>
      </c>
      <c r="N17" s="217">
        <f t="shared" si="2"/>
        <v>104.8829431438127</v>
      </c>
    </row>
    <row r="18" spans="1:15" ht="12.95" customHeight="1">
      <c r="B18" s="10"/>
      <c r="C18" s="11"/>
      <c r="D18" s="11"/>
      <c r="E18" s="170"/>
      <c r="F18" s="184">
        <v>613100</v>
      </c>
      <c r="G18" s="203"/>
      <c r="H18" s="24" t="s">
        <v>83</v>
      </c>
      <c r="I18" s="243">
        <v>11500</v>
      </c>
      <c r="J18" s="243">
        <v>11500</v>
      </c>
      <c r="K18" s="388">
        <v>12000</v>
      </c>
      <c r="L18" s="243">
        <v>0</v>
      </c>
      <c r="M18" s="262">
        <f t="shared" ref="M18:M27" si="8">SUM(K18:L18)</f>
        <v>12000</v>
      </c>
      <c r="N18" s="218">
        <f t="shared" si="2"/>
        <v>104.34782608695652</v>
      </c>
    </row>
    <row r="19" spans="1:15" ht="12.95" customHeight="1">
      <c r="B19" s="10"/>
      <c r="C19" s="11"/>
      <c r="D19" s="11"/>
      <c r="E19" s="170"/>
      <c r="F19" s="184">
        <v>613200</v>
      </c>
      <c r="G19" s="203"/>
      <c r="H19" s="24" t="s">
        <v>84</v>
      </c>
      <c r="I19" s="243">
        <v>85000</v>
      </c>
      <c r="J19" s="243">
        <v>85000</v>
      </c>
      <c r="K19" s="388">
        <v>78000</v>
      </c>
      <c r="L19" s="243">
        <v>0</v>
      </c>
      <c r="M19" s="262">
        <f t="shared" si="8"/>
        <v>78000</v>
      </c>
      <c r="N19" s="218">
        <f t="shared" si="2"/>
        <v>91.764705882352942</v>
      </c>
    </row>
    <row r="20" spans="1:15" ht="12.95" customHeight="1">
      <c r="B20" s="10"/>
      <c r="C20" s="11"/>
      <c r="D20" s="11"/>
      <c r="E20" s="170"/>
      <c r="F20" s="184">
        <v>613300</v>
      </c>
      <c r="G20" s="203"/>
      <c r="H20" s="472" t="s">
        <v>169</v>
      </c>
      <c r="I20" s="243">
        <v>82000</v>
      </c>
      <c r="J20" s="243">
        <v>82000</v>
      </c>
      <c r="K20" s="388">
        <v>81000</v>
      </c>
      <c r="L20" s="243">
        <v>0</v>
      </c>
      <c r="M20" s="262">
        <f t="shared" si="8"/>
        <v>81000</v>
      </c>
      <c r="N20" s="218">
        <f t="shared" si="2"/>
        <v>98.780487804878049</v>
      </c>
    </row>
    <row r="21" spans="1:15" ht="12.95" customHeight="1">
      <c r="B21" s="10"/>
      <c r="C21" s="11"/>
      <c r="D21" s="11"/>
      <c r="E21" s="170"/>
      <c r="F21" s="184">
        <v>613400</v>
      </c>
      <c r="G21" s="203"/>
      <c r="H21" s="24" t="s">
        <v>143</v>
      </c>
      <c r="I21" s="243">
        <v>190000</v>
      </c>
      <c r="J21" s="243">
        <v>190000</v>
      </c>
      <c r="K21" s="388">
        <v>172000</v>
      </c>
      <c r="L21" s="243">
        <v>0</v>
      </c>
      <c r="M21" s="262">
        <f t="shared" si="8"/>
        <v>172000</v>
      </c>
      <c r="N21" s="218">
        <f t="shared" si="2"/>
        <v>90.526315789473685</v>
      </c>
    </row>
    <row r="22" spans="1:15" ht="12.95" customHeight="1">
      <c r="B22" s="10"/>
      <c r="C22" s="11"/>
      <c r="D22" s="11"/>
      <c r="E22" s="170"/>
      <c r="F22" s="184">
        <v>613500</v>
      </c>
      <c r="G22" s="203"/>
      <c r="H22" s="24" t="s">
        <v>85</v>
      </c>
      <c r="I22" s="243">
        <v>105000</v>
      </c>
      <c r="J22" s="243">
        <v>105000</v>
      </c>
      <c r="K22" s="388">
        <v>112000</v>
      </c>
      <c r="L22" s="243">
        <v>0</v>
      </c>
      <c r="M22" s="262">
        <f t="shared" si="8"/>
        <v>112000</v>
      </c>
      <c r="N22" s="218">
        <f t="shared" si="2"/>
        <v>106.66666666666667</v>
      </c>
    </row>
    <row r="23" spans="1:15" ht="12.95" customHeight="1">
      <c r="B23" s="10"/>
      <c r="C23" s="11"/>
      <c r="D23" s="11"/>
      <c r="E23" s="170"/>
      <c r="F23" s="184">
        <v>613600</v>
      </c>
      <c r="G23" s="203"/>
      <c r="H23" s="472" t="s">
        <v>170</v>
      </c>
      <c r="I23" s="243">
        <v>27000</v>
      </c>
      <c r="J23" s="243">
        <v>27000</v>
      </c>
      <c r="K23" s="388">
        <v>27000</v>
      </c>
      <c r="L23" s="243">
        <v>0</v>
      </c>
      <c r="M23" s="262">
        <f t="shared" si="8"/>
        <v>27000</v>
      </c>
      <c r="N23" s="218">
        <f t="shared" si="2"/>
        <v>100</v>
      </c>
    </row>
    <row r="24" spans="1:15" ht="12.95" customHeight="1">
      <c r="B24" s="10"/>
      <c r="C24" s="11"/>
      <c r="D24" s="11"/>
      <c r="E24" s="170"/>
      <c r="F24" s="184">
        <v>613700</v>
      </c>
      <c r="G24" s="203"/>
      <c r="H24" s="24" t="s">
        <v>86</v>
      </c>
      <c r="I24" s="243">
        <v>95000</v>
      </c>
      <c r="J24" s="243">
        <v>95000</v>
      </c>
      <c r="K24" s="388">
        <v>95000</v>
      </c>
      <c r="L24" s="243">
        <v>0</v>
      </c>
      <c r="M24" s="262">
        <f t="shared" si="8"/>
        <v>95000</v>
      </c>
      <c r="N24" s="218">
        <f t="shared" si="2"/>
        <v>100</v>
      </c>
    </row>
    <row r="25" spans="1:15" ht="12.95" customHeight="1">
      <c r="B25" s="10"/>
      <c r="C25" s="11"/>
      <c r="D25" s="11"/>
      <c r="E25" s="170"/>
      <c r="F25" s="184">
        <v>613800</v>
      </c>
      <c r="G25" s="203"/>
      <c r="H25" s="24" t="s">
        <v>144</v>
      </c>
      <c r="I25" s="243">
        <v>28000</v>
      </c>
      <c r="J25" s="243">
        <v>28000</v>
      </c>
      <c r="K25" s="388">
        <v>27000</v>
      </c>
      <c r="L25" s="243">
        <v>0</v>
      </c>
      <c r="M25" s="262">
        <f t="shared" si="8"/>
        <v>27000</v>
      </c>
      <c r="N25" s="218">
        <f t="shared" si="2"/>
        <v>96.428571428571431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24" t="s">
        <v>145</v>
      </c>
      <c r="I26" s="243">
        <v>124000</v>
      </c>
      <c r="J26" s="243">
        <v>124000</v>
      </c>
      <c r="K26" s="388">
        <v>180000</v>
      </c>
      <c r="L26" s="243">
        <v>0</v>
      </c>
      <c r="M26" s="262">
        <f t="shared" si="8"/>
        <v>180000</v>
      </c>
      <c r="N26" s="218">
        <f t="shared" si="2"/>
        <v>145.16129032258064</v>
      </c>
    </row>
    <row r="27" spans="1:15" ht="12.95" customHeight="1">
      <c r="B27" s="10"/>
      <c r="C27" s="11"/>
      <c r="D27" s="11"/>
      <c r="E27" s="170"/>
      <c r="F27" s="184">
        <v>613900</v>
      </c>
      <c r="G27" s="203"/>
      <c r="H27" s="479" t="s">
        <v>447</v>
      </c>
      <c r="I27" s="245">
        <v>0</v>
      </c>
      <c r="J27" s="245">
        <v>0</v>
      </c>
      <c r="K27" s="391">
        <v>0</v>
      </c>
      <c r="L27" s="245">
        <v>0</v>
      </c>
      <c r="M27" s="262">
        <f t="shared" si="8"/>
        <v>0</v>
      </c>
      <c r="N27" s="218" t="str">
        <f t="shared" si="2"/>
        <v/>
      </c>
      <c r="O27" s="51"/>
    </row>
    <row r="28" spans="1:15" s="1" customFormat="1" ht="12.95" customHeight="1">
      <c r="A28" s="165"/>
      <c r="B28" s="12"/>
      <c r="C28" s="8"/>
      <c r="D28" s="8"/>
      <c r="E28" s="458"/>
      <c r="F28" s="194"/>
      <c r="G28" s="214"/>
      <c r="H28" s="25"/>
      <c r="I28" s="243"/>
      <c r="J28" s="243"/>
      <c r="K28" s="388"/>
      <c r="L28" s="243"/>
      <c r="M28" s="263"/>
      <c r="N28" s="218" t="str">
        <f t="shared" si="2"/>
        <v/>
      </c>
    </row>
    <row r="29" spans="1:15" s="1" customFormat="1" ht="12.95" customHeight="1">
      <c r="A29" s="165"/>
      <c r="B29" s="12"/>
      <c r="C29" s="8"/>
      <c r="D29" s="8"/>
      <c r="E29" s="8"/>
      <c r="F29" s="183">
        <v>821000</v>
      </c>
      <c r="G29" s="202"/>
      <c r="H29" s="25" t="s">
        <v>89</v>
      </c>
      <c r="I29" s="244">
        <f t="shared" ref="I29" si="9">SUM(I30:I31)</f>
        <v>109000</v>
      </c>
      <c r="J29" s="244">
        <f t="shared" ref="J29" si="10">SUM(J30:J31)</f>
        <v>109000</v>
      </c>
      <c r="K29" s="532">
        <f>SUM(K30:K31)</f>
        <v>170000</v>
      </c>
      <c r="L29" s="244">
        <f>SUM(L30:L31)</f>
        <v>0</v>
      </c>
      <c r="M29" s="264">
        <f>SUM(M30:M31)</f>
        <v>170000</v>
      </c>
      <c r="N29" s="217">
        <f t="shared" si="2"/>
        <v>155.96330275229357</v>
      </c>
    </row>
    <row r="30" spans="1:15" ht="12.95" customHeight="1">
      <c r="B30" s="10"/>
      <c r="C30" s="11"/>
      <c r="D30" s="11"/>
      <c r="E30" s="170"/>
      <c r="F30" s="184">
        <v>821200</v>
      </c>
      <c r="G30" s="203"/>
      <c r="H30" s="24" t="s">
        <v>90</v>
      </c>
      <c r="I30" s="243">
        <v>0</v>
      </c>
      <c r="J30" s="243">
        <v>0</v>
      </c>
      <c r="K30" s="388">
        <v>100000</v>
      </c>
      <c r="L30" s="243">
        <v>0</v>
      </c>
      <c r="M30" s="262">
        <f t="shared" ref="M30:M31" si="11">SUM(K30:L30)</f>
        <v>100000</v>
      </c>
      <c r="N30" s="218" t="str">
        <f t="shared" si="2"/>
        <v/>
      </c>
    </row>
    <row r="31" spans="1:15" ht="12.95" customHeight="1">
      <c r="B31" s="10"/>
      <c r="C31" s="11"/>
      <c r="D31" s="11"/>
      <c r="E31" s="170"/>
      <c r="F31" s="184">
        <v>821300</v>
      </c>
      <c r="G31" s="203"/>
      <c r="H31" s="24" t="s">
        <v>91</v>
      </c>
      <c r="I31" s="243">
        <v>109000</v>
      </c>
      <c r="J31" s="243">
        <v>109000</v>
      </c>
      <c r="K31" s="388">
        <v>70000</v>
      </c>
      <c r="L31" s="243">
        <v>0</v>
      </c>
      <c r="M31" s="262">
        <f t="shared" si="11"/>
        <v>70000</v>
      </c>
      <c r="N31" s="218">
        <f t="shared" si="2"/>
        <v>64.22018348623854</v>
      </c>
    </row>
    <row r="32" spans="1:15" ht="12.95" customHeight="1">
      <c r="B32" s="10"/>
      <c r="C32" s="11"/>
      <c r="D32" s="11"/>
      <c r="E32" s="170"/>
      <c r="F32" s="184"/>
      <c r="G32" s="203"/>
      <c r="H32" s="24"/>
      <c r="I32" s="240"/>
      <c r="J32" s="240"/>
      <c r="K32" s="534"/>
      <c r="L32" s="240"/>
      <c r="M32" s="264"/>
      <c r="N32" s="218" t="str">
        <f t="shared" si="2"/>
        <v/>
      </c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25" t="s">
        <v>92</v>
      </c>
      <c r="I33" s="408" t="s">
        <v>813</v>
      </c>
      <c r="J33" s="408" t="s">
        <v>813</v>
      </c>
      <c r="K33" s="535" t="s">
        <v>900</v>
      </c>
      <c r="L33" s="408"/>
      <c r="M33" s="266" t="s">
        <v>900</v>
      </c>
      <c r="N33" s="218"/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106</v>
      </c>
      <c r="I34" s="398">
        <f>I8+I13+I17+I29</f>
        <v>7547570</v>
      </c>
      <c r="J34" s="172">
        <f>J8+J13+J17+J29</f>
        <v>7547570</v>
      </c>
      <c r="K34" s="401">
        <f>K8+K13+K17+K29</f>
        <v>7810460</v>
      </c>
      <c r="L34" s="172">
        <f>L8+L13+L17+L29</f>
        <v>0</v>
      </c>
      <c r="M34" s="264">
        <f>M8+M13+M17+M29</f>
        <v>7810460</v>
      </c>
      <c r="N34" s="217">
        <f>IF(J34=0,"",M34/J34*100)</f>
        <v>103.48310780820846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93</v>
      </c>
      <c r="I35" s="398">
        <f>I34</f>
        <v>7547570</v>
      </c>
      <c r="J35" s="172">
        <f>J34</f>
        <v>7547570</v>
      </c>
      <c r="K35" s="401">
        <f t="shared" ref="K35:M36" si="12">K34</f>
        <v>7810460</v>
      </c>
      <c r="L35" s="172">
        <f t="shared" si="12"/>
        <v>0</v>
      </c>
      <c r="M35" s="264">
        <f t="shared" si="12"/>
        <v>7810460</v>
      </c>
      <c r="N35" s="217">
        <f>IF(J35=0,"",M35/J35*100)</f>
        <v>103.48310780820846</v>
      </c>
    </row>
    <row r="36" spans="1:14" s="1" customFormat="1" ht="12.95" customHeight="1">
      <c r="A36" s="165"/>
      <c r="B36" s="12"/>
      <c r="C36" s="8"/>
      <c r="D36" s="8"/>
      <c r="E36" s="8"/>
      <c r="F36" s="183"/>
      <c r="G36" s="202"/>
      <c r="H36" s="8" t="s">
        <v>94</v>
      </c>
      <c r="I36" s="15">
        <f>I35</f>
        <v>7547570</v>
      </c>
      <c r="J36" s="15">
        <f>J35</f>
        <v>7547570</v>
      </c>
      <c r="K36" s="401">
        <f t="shared" si="12"/>
        <v>7810460</v>
      </c>
      <c r="L36" s="172">
        <f t="shared" si="12"/>
        <v>0</v>
      </c>
      <c r="M36" s="264">
        <f t="shared" si="12"/>
        <v>7810460</v>
      </c>
      <c r="N36" s="217">
        <f>IF(J36=0,"",M36/J36*100)</f>
        <v>103.48310780820846</v>
      </c>
    </row>
    <row r="37" spans="1:14" ht="12.95" customHeight="1" thickBot="1">
      <c r="B37" s="16"/>
      <c r="C37" s="17"/>
      <c r="D37" s="17"/>
      <c r="E37" s="17"/>
      <c r="F37" s="185"/>
      <c r="G37" s="204"/>
      <c r="H37" s="17"/>
      <c r="I37" s="17"/>
      <c r="J37" s="17"/>
      <c r="K37" s="16"/>
      <c r="L37" s="17"/>
      <c r="M37" s="271"/>
      <c r="N37" s="220"/>
    </row>
    <row r="38" spans="1:14" ht="12.95" customHeight="1">
      <c r="F38" s="186"/>
      <c r="G38" s="205"/>
      <c r="M38" s="268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B42" s="45"/>
      <c r="F42" s="186"/>
      <c r="G42" s="205"/>
      <c r="M42" s="268"/>
    </row>
    <row r="43" spans="1:14" ht="12.95" customHeight="1">
      <c r="B43" s="45"/>
      <c r="F43" s="186"/>
      <c r="G43" s="205"/>
      <c r="M43" s="268"/>
    </row>
    <row r="44" spans="1:14" ht="12.95" customHeight="1">
      <c r="B44" s="45"/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2.95" customHeight="1">
      <c r="F60" s="186"/>
      <c r="G60" s="205"/>
      <c r="M60" s="268"/>
    </row>
    <row r="61" spans="6:13" ht="17.100000000000001" customHeight="1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205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 ht="14.25">
      <c r="F91" s="186"/>
      <c r="G91" s="186"/>
      <c r="M91" s="268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  <row r="97" spans="7:7">
      <c r="G97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P98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656</v>
      </c>
      <c r="C2" s="877"/>
      <c r="D2" s="877"/>
      <c r="E2" s="877"/>
      <c r="F2" s="877"/>
      <c r="G2" s="877"/>
      <c r="H2" s="877"/>
      <c r="I2" s="877"/>
      <c r="J2" s="253"/>
      <c r="K2" s="254"/>
      <c r="L2" s="254"/>
      <c r="M2" s="254"/>
      <c r="N2" s="257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8" t="s">
        <v>852</v>
      </c>
      <c r="L4" s="909"/>
      <c r="M4" s="910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24" t="s">
        <v>543</v>
      </c>
      <c r="L5" s="410" t="s">
        <v>544</v>
      </c>
      <c r="M5" s="411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425">
        <v>11</v>
      </c>
      <c r="L6" s="412">
        <v>12</v>
      </c>
      <c r="M6" s="413" t="s">
        <v>724</v>
      </c>
      <c r="N6" s="359">
        <v>14</v>
      </c>
    </row>
    <row r="7" spans="1:16" s="2" customFormat="1" ht="12.95" customHeight="1">
      <c r="A7" s="166"/>
      <c r="B7" s="6" t="s">
        <v>119</v>
      </c>
      <c r="C7" s="7" t="s">
        <v>80</v>
      </c>
      <c r="D7" s="7" t="s">
        <v>81</v>
      </c>
      <c r="E7" s="459" t="s">
        <v>727</v>
      </c>
      <c r="F7" s="5"/>
      <c r="G7" s="167"/>
      <c r="H7" s="5"/>
      <c r="I7" s="409"/>
      <c r="J7" s="73"/>
      <c r="K7" s="426"/>
      <c r="L7" s="414"/>
      <c r="M7" s="415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483">
        <f t="shared" ref="I8" si="0">SUM(I9:I12)</f>
        <v>157610</v>
      </c>
      <c r="J8" s="483">
        <f t="shared" ref="J8" si="1">SUM(J9:J12)</f>
        <v>157610</v>
      </c>
      <c r="K8" s="540">
        <f>SUM(K9:K12)</f>
        <v>164160</v>
      </c>
      <c r="L8" s="483">
        <f>SUM(L9:L12)</f>
        <v>0</v>
      </c>
      <c r="M8" s="416">
        <f>SUM(M9:M12)</f>
        <v>164160</v>
      </c>
      <c r="N8" s="217">
        <f t="shared" ref="N8:N33" si="2">IF(J8=0,"",M8/J8*100)</f>
        <v>104.1558276759089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484">
        <v>133300</v>
      </c>
      <c r="J9" s="484">
        <v>133300</v>
      </c>
      <c r="K9" s="541">
        <f>129760+500+6*1280+12*270</f>
        <v>141180</v>
      </c>
      <c r="L9" s="484">
        <v>0</v>
      </c>
      <c r="M9" s="417">
        <f>SUM(K9:L9)</f>
        <v>141180</v>
      </c>
      <c r="N9" s="218">
        <f t="shared" si="2"/>
        <v>105.91147786946738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484">
        <v>24310</v>
      </c>
      <c r="J10" s="484">
        <v>24310</v>
      </c>
      <c r="K10" s="541">
        <f>20590+500+1890</f>
        <v>22980</v>
      </c>
      <c r="L10" s="484">
        <v>0</v>
      </c>
      <c r="M10" s="417">
        <f t="shared" ref="M10:M11" si="3">SUM(K10:L10)</f>
        <v>22980</v>
      </c>
      <c r="N10" s="218">
        <f t="shared" si="2"/>
        <v>94.529000411353351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485">
        <v>0</v>
      </c>
      <c r="J11" s="485">
        <v>0</v>
      </c>
      <c r="K11" s="481">
        <v>0</v>
      </c>
      <c r="L11" s="485">
        <v>0</v>
      </c>
      <c r="M11" s="417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484"/>
      <c r="J12" s="484"/>
      <c r="K12" s="541"/>
      <c r="L12" s="484"/>
      <c r="M12" s="417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483">
        <f t="shared" ref="I13:J13" si="4">I14</f>
        <v>14070</v>
      </c>
      <c r="J13" s="483">
        <f t="shared" si="4"/>
        <v>14070</v>
      </c>
      <c r="K13" s="540">
        <f>K14</f>
        <v>14980</v>
      </c>
      <c r="L13" s="483">
        <f>L14</f>
        <v>0</v>
      </c>
      <c r="M13" s="416">
        <f>M14</f>
        <v>14980</v>
      </c>
      <c r="N13" s="217">
        <f t="shared" si="2"/>
        <v>106.46766169154229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484">
        <v>14070</v>
      </c>
      <c r="J14" s="484">
        <v>14070</v>
      </c>
      <c r="K14" s="541">
        <f>13630+150+6*140+12*30</f>
        <v>14980</v>
      </c>
      <c r="L14" s="484">
        <v>0</v>
      </c>
      <c r="M14" s="417">
        <f>SUM(K14:L14)</f>
        <v>14980</v>
      </c>
      <c r="N14" s="218">
        <f t="shared" si="2"/>
        <v>106.46766169154229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486"/>
      <c r="J15" s="486"/>
      <c r="K15" s="542"/>
      <c r="L15" s="486"/>
      <c r="M15" s="418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487">
        <f t="shared" ref="I16" si="5">SUM(I17:I28)</f>
        <v>115800</v>
      </c>
      <c r="J16" s="487">
        <f t="shared" ref="J16" si="6">SUM(J17:J28)</f>
        <v>115800</v>
      </c>
      <c r="K16" s="543">
        <f>SUM(K17:K28)</f>
        <v>116800</v>
      </c>
      <c r="L16" s="487">
        <f>SUM(L17:L28)</f>
        <v>0</v>
      </c>
      <c r="M16" s="419">
        <f>SUM(M17:M28)</f>
        <v>116800</v>
      </c>
      <c r="N16" s="217">
        <f t="shared" si="2"/>
        <v>100.86355785837651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485">
        <v>2000</v>
      </c>
      <c r="J17" s="485">
        <v>2000</v>
      </c>
      <c r="K17" s="481">
        <v>2500</v>
      </c>
      <c r="L17" s="485">
        <v>0</v>
      </c>
      <c r="M17" s="417">
        <f t="shared" ref="M17:M28" si="7">SUM(K17:L17)</f>
        <v>2500</v>
      </c>
      <c r="N17" s="218">
        <f t="shared" si="2"/>
        <v>125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485">
        <v>0</v>
      </c>
      <c r="J18" s="485">
        <v>0</v>
      </c>
      <c r="K18" s="481">
        <v>0</v>
      </c>
      <c r="L18" s="485">
        <v>0</v>
      </c>
      <c r="M18" s="417">
        <f t="shared" si="7"/>
        <v>0</v>
      </c>
      <c r="N18" s="218" t="str">
        <f t="shared" si="2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485">
        <v>2800</v>
      </c>
      <c r="J19" s="485">
        <v>2800</v>
      </c>
      <c r="K19" s="481">
        <v>2800</v>
      </c>
      <c r="L19" s="485">
        <v>0</v>
      </c>
      <c r="M19" s="417">
        <f t="shared" si="7"/>
        <v>2800</v>
      </c>
      <c r="N19" s="218">
        <f t="shared" si="2"/>
        <v>100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485">
        <v>3000</v>
      </c>
      <c r="J20" s="485">
        <v>3000</v>
      </c>
      <c r="K20" s="481">
        <v>3000</v>
      </c>
      <c r="L20" s="485">
        <v>0</v>
      </c>
      <c r="M20" s="417">
        <f t="shared" si="7"/>
        <v>3000</v>
      </c>
      <c r="N20" s="218">
        <f t="shared" si="2"/>
        <v>100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485">
        <v>0</v>
      </c>
      <c r="J21" s="485">
        <v>0</v>
      </c>
      <c r="K21" s="481">
        <v>0</v>
      </c>
      <c r="L21" s="485">
        <v>0</v>
      </c>
      <c r="M21" s="417">
        <f t="shared" si="7"/>
        <v>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485">
        <v>0</v>
      </c>
      <c r="J22" s="485">
        <v>0</v>
      </c>
      <c r="K22" s="481">
        <v>0</v>
      </c>
      <c r="L22" s="485">
        <v>0</v>
      </c>
      <c r="M22" s="417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485">
        <v>1000</v>
      </c>
      <c r="J23" s="485">
        <v>1000</v>
      </c>
      <c r="K23" s="481">
        <v>1000</v>
      </c>
      <c r="L23" s="485">
        <v>0</v>
      </c>
      <c r="M23" s="417">
        <f t="shared" si="7"/>
        <v>1000</v>
      </c>
      <c r="N23" s="218">
        <f t="shared" si="2"/>
        <v>100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485">
        <v>0</v>
      </c>
      <c r="J24" s="485">
        <v>0</v>
      </c>
      <c r="K24" s="481">
        <v>0</v>
      </c>
      <c r="L24" s="485">
        <v>0</v>
      </c>
      <c r="M24" s="417">
        <f t="shared" si="7"/>
        <v>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485">
        <v>16000</v>
      </c>
      <c r="J25" s="485">
        <v>16000</v>
      </c>
      <c r="K25" s="481">
        <v>20000</v>
      </c>
      <c r="L25" s="485">
        <v>0</v>
      </c>
      <c r="M25" s="417">
        <f t="shared" si="7"/>
        <v>20000</v>
      </c>
      <c r="N25" s="218">
        <f t="shared" si="2"/>
        <v>125</v>
      </c>
    </row>
    <row r="26" spans="1:14" s="168" customFormat="1" ht="12.95" customHeight="1">
      <c r="B26" s="169"/>
      <c r="C26" s="170"/>
      <c r="D26" s="170"/>
      <c r="E26" s="170"/>
      <c r="F26" s="184">
        <v>613900</v>
      </c>
      <c r="G26" s="206" t="s">
        <v>745</v>
      </c>
      <c r="H26" s="482" t="s">
        <v>743</v>
      </c>
      <c r="I26" s="485">
        <v>46000</v>
      </c>
      <c r="J26" s="485">
        <v>46000</v>
      </c>
      <c r="K26" s="481">
        <v>42500</v>
      </c>
      <c r="L26" s="485">
        <v>0</v>
      </c>
      <c r="M26" s="417">
        <f t="shared" ref="M26:M27" si="8">SUM(K26:L26)</f>
        <v>42500</v>
      </c>
      <c r="N26" s="218">
        <f t="shared" si="2"/>
        <v>92.391304347826093</v>
      </c>
    </row>
    <row r="27" spans="1:14" s="491" customFormat="1" ht="12.95" customHeight="1">
      <c r="B27" s="492"/>
      <c r="C27" s="435"/>
      <c r="D27" s="435"/>
      <c r="E27" s="435"/>
      <c r="F27" s="493">
        <v>613900</v>
      </c>
      <c r="G27" s="494" t="s">
        <v>755</v>
      </c>
      <c r="H27" s="395" t="s">
        <v>756</v>
      </c>
      <c r="I27" s="485">
        <v>45000</v>
      </c>
      <c r="J27" s="485">
        <v>45000</v>
      </c>
      <c r="K27" s="481">
        <v>45000</v>
      </c>
      <c r="L27" s="485">
        <v>0</v>
      </c>
      <c r="M27" s="495">
        <f t="shared" si="8"/>
        <v>45000</v>
      </c>
      <c r="N27" s="496">
        <f t="shared" si="2"/>
        <v>100</v>
      </c>
    </row>
    <row r="28" spans="1:14" ht="12.95" customHeight="1">
      <c r="B28" s="10"/>
      <c r="C28" s="11"/>
      <c r="D28" s="11"/>
      <c r="E28" s="170"/>
      <c r="F28" s="184">
        <v>613900</v>
      </c>
      <c r="G28" s="203"/>
      <c r="H28" s="479" t="s">
        <v>447</v>
      </c>
      <c r="I28" s="488">
        <v>0</v>
      </c>
      <c r="J28" s="488">
        <v>0</v>
      </c>
      <c r="K28" s="544">
        <v>0</v>
      </c>
      <c r="L28" s="488">
        <v>0</v>
      </c>
      <c r="M28" s="417">
        <f t="shared" si="7"/>
        <v>0</v>
      </c>
      <c r="N28" s="218" t="str">
        <f t="shared" si="2"/>
        <v/>
      </c>
    </row>
    <row r="29" spans="1:14" s="1" customFormat="1" ht="12.95" customHeight="1">
      <c r="A29" s="165"/>
      <c r="B29" s="12"/>
      <c r="C29" s="8"/>
      <c r="D29" s="8"/>
      <c r="E29" s="458"/>
      <c r="F29" s="194"/>
      <c r="G29" s="214"/>
      <c r="H29" s="25"/>
      <c r="I29" s="486"/>
      <c r="J29" s="486"/>
      <c r="K29" s="542"/>
      <c r="L29" s="486"/>
      <c r="M29" s="418"/>
      <c r="N29" s="218" t="str">
        <f t="shared" si="2"/>
        <v/>
      </c>
    </row>
    <row r="30" spans="1:14" s="1" customFormat="1" ht="12.95" customHeight="1">
      <c r="A30" s="165"/>
      <c r="B30" s="12"/>
      <c r="C30" s="8"/>
      <c r="D30" s="8"/>
      <c r="E30" s="8"/>
      <c r="F30" s="183">
        <v>821000</v>
      </c>
      <c r="G30" s="202"/>
      <c r="H30" s="25" t="s">
        <v>89</v>
      </c>
      <c r="I30" s="489">
        <f t="shared" ref="I30" si="9">SUM(I31:I32)</f>
        <v>2500</v>
      </c>
      <c r="J30" s="489">
        <f t="shared" ref="J30" si="10">SUM(J31:J32)</f>
        <v>2500</v>
      </c>
      <c r="K30" s="545">
        <f>SUM(K31:K32)</f>
        <v>2500</v>
      </c>
      <c r="L30" s="489">
        <f>SUM(L31:L32)</f>
        <v>0</v>
      </c>
      <c r="M30" s="419">
        <f>SUM(M31:M32)</f>
        <v>2500</v>
      </c>
      <c r="N30" s="217">
        <f t="shared" si="2"/>
        <v>100</v>
      </c>
    </row>
    <row r="31" spans="1:14" ht="12.95" customHeight="1">
      <c r="B31" s="10"/>
      <c r="C31" s="11"/>
      <c r="D31" s="11"/>
      <c r="E31" s="170"/>
      <c r="F31" s="184">
        <v>821200</v>
      </c>
      <c r="G31" s="203"/>
      <c r="H31" s="24" t="s">
        <v>90</v>
      </c>
      <c r="I31" s="486">
        <v>0</v>
      </c>
      <c r="J31" s="486">
        <v>0</v>
      </c>
      <c r="K31" s="542">
        <v>0</v>
      </c>
      <c r="L31" s="486">
        <v>0</v>
      </c>
      <c r="M31" s="417">
        <f t="shared" ref="M31:M32" si="11">SUM(K31:L31)</f>
        <v>0</v>
      </c>
      <c r="N31" s="218" t="str">
        <f t="shared" si="2"/>
        <v/>
      </c>
    </row>
    <row r="32" spans="1:14" ht="12.95" customHeight="1">
      <c r="B32" s="10"/>
      <c r="C32" s="11"/>
      <c r="D32" s="11"/>
      <c r="E32" s="170"/>
      <c r="F32" s="184">
        <v>821300</v>
      </c>
      <c r="G32" s="203"/>
      <c r="H32" s="24" t="s">
        <v>91</v>
      </c>
      <c r="I32" s="486">
        <v>2500</v>
      </c>
      <c r="J32" s="486">
        <v>2500</v>
      </c>
      <c r="K32" s="542">
        <v>2500</v>
      </c>
      <c r="L32" s="486">
        <v>0</v>
      </c>
      <c r="M32" s="417">
        <f t="shared" si="11"/>
        <v>2500</v>
      </c>
      <c r="N32" s="218">
        <f t="shared" si="2"/>
        <v>100</v>
      </c>
    </row>
    <row r="33" spans="1:14" ht="12.95" customHeight="1">
      <c r="B33" s="10"/>
      <c r="C33" s="11"/>
      <c r="D33" s="11"/>
      <c r="E33" s="170"/>
      <c r="F33" s="184"/>
      <c r="G33" s="203"/>
      <c r="H33" s="24"/>
      <c r="I33" s="486"/>
      <c r="J33" s="486"/>
      <c r="K33" s="542"/>
      <c r="L33" s="486"/>
      <c r="M33" s="418"/>
      <c r="N33" s="218" t="str">
        <f t="shared" si="2"/>
        <v/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25" t="s">
        <v>92</v>
      </c>
      <c r="I34" s="490">
        <v>5</v>
      </c>
      <c r="J34" s="490">
        <v>5</v>
      </c>
      <c r="K34" s="546" t="s">
        <v>891</v>
      </c>
      <c r="L34" s="547"/>
      <c r="M34" s="446" t="s">
        <v>891</v>
      </c>
      <c r="N34" s="218"/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25" t="s">
        <v>106</v>
      </c>
      <c r="I35" s="489">
        <f>I8+I13+I16+I30</f>
        <v>289980</v>
      </c>
      <c r="J35" s="489">
        <f>J8+J13+J16+J30</f>
        <v>289980</v>
      </c>
      <c r="K35" s="427">
        <f>K8+K13+K16+K30</f>
        <v>298440</v>
      </c>
      <c r="L35" s="420">
        <f>L8+L13+L16+L30</f>
        <v>0</v>
      </c>
      <c r="M35" s="419">
        <f>M8+M13+M16+M30</f>
        <v>298440</v>
      </c>
      <c r="N35" s="217">
        <f>IF(J35=0,"",M35/J35*100)</f>
        <v>102.91744258224705</v>
      </c>
    </row>
    <row r="36" spans="1:14" s="1" customFormat="1" ht="12.95" customHeight="1">
      <c r="A36" s="165"/>
      <c r="B36" s="12"/>
      <c r="C36" s="8"/>
      <c r="D36" s="8"/>
      <c r="E36" s="8"/>
      <c r="F36" s="183"/>
      <c r="G36" s="202"/>
      <c r="H36" s="8" t="s">
        <v>93</v>
      </c>
      <c r="I36" s="398"/>
      <c r="J36" s="172"/>
      <c r="K36" s="427"/>
      <c r="L36" s="420"/>
      <c r="M36" s="419"/>
      <c r="N36" s="218" t="str">
        <f>IF(J36=0,"",M36/J36*100)</f>
        <v/>
      </c>
    </row>
    <row r="37" spans="1:14" s="1" customFormat="1" ht="12.95" customHeight="1">
      <c r="A37" s="165"/>
      <c r="B37" s="12"/>
      <c r="C37" s="8"/>
      <c r="D37" s="8"/>
      <c r="E37" s="8"/>
      <c r="F37" s="183"/>
      <c r="G37" s="202"/>
      <c r="H37" s="8" t="s">
        <v>94</v>
      </c>
      <c r="I37" s="29"/>
      <c r="J37" s="29"/>
      <c r="K37" s="428"/>
      <c r="L37" s="421"/>
      <c r="M37" s="418"/>
      <c r="N37" s="218" t="str">
        <f>IF(J37=0,"",M37/J37*100)</f>
        <v/>
      </c>
    </row>
    <row r="38" spans="1:14" ht="12.95" customHeight="1" thickBot="1">
      <c r="B38" s="16"/>
      <c r="C38" s="17"/>
      <c r="D38" s="17"/>
      <c r="E38" s="17"/>
      <c r="F38" s="185"/>
      <c r="G38" s="204"/>
      <c r="H38" s="17"/>
      <c r="I38" s="31"/>
      <c r="J38" s="31"/>
      <c r="K38" s="429"/>
      <c r="L38" s="422"/>
      <c r="M38" s="423"/>
      <c r="N38" s="220"/>
    </row>
    <row r="39" spans="1:14" ht="12.95" customHeight="1">
      <c r="F39" s="186"/>
      <c r="G39" s="205"/>
      <c r="M39" s="270"/>
    </row>
    <row r="40" spans="1:14" ht="12.95" customHeight="1">
      <c r="F40" s="186"/>
      <c r="G40" s="205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2.95" customHeight="1">
      <c r="F60" s="186"/>
      <c r="G60" s="205"/>
      <c r="M60" s="270"/>
    </row>
    <row r="61" spans="6:13" ht="12.95" customHeight="1">
      <c r="F61" s="186"/>
      <c r="G61" s="205"/>
      <c r="M61" s="270"/>
    </row>
    <row r="62" spans="6:13" ht="17.100000000000001" customHeight="1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205"/>
      <c r="M74" s="270"/>
    </row>
    <row r="75" spans="6:13" ht="14.25">
      <c r="F75" s="186"/>
      <c r="G75" s="205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 ht="14.25">
      <c r="F91" s="186"/>
      <c r="G91" s="186"/>
      <c r="M91" s="270"/>
    </row>
    <row r="92" spans="6:13" ht="14.25">
      <c r="F92" s="186"/>
      <c r="G92" s="186"/>
      <c r="M92" s="270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  <row r="97" spans="7:7">
      <c r="G97" s="186"/>
    </row>
    <row r="98" spans="7:7">
      <c r="G98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R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8" ht="13.5" thickBot="1"/>
    <row r="2" spans="1:18" s="252" customFormat="1" ht="20.100000000000001" customHeight="1" thickTop="1" thickBot="1">
      <c r="B2" s="876" t="s">
        <v>677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</row>
    <row r="3" spans="1:18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8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8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8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8" s="2" customFormat="1" ht="12.95" customHeight="1">
      <c r="A7" s="166"/>
      <c r="B7" s="6" t="s">
        <v>119</v>
      </c>
      <c r="C7" s="7" t="s">
        <v>120</v>
      </c>
      <c r="D7" s="7" t="s">
        <v>114</v>
      </c>
      <c r="E7" s="459" t="s">
        <v>728</v>
      </c>
      <c r="F7" s="5"/>
      <c r="G7" s="167"/>
      <c r="H7" s="5"/>
      <c r="I7" s="73"/>
      <c r="J7" s="73"/>
      <c r="K7" s="430"/>
      <c r="L7" s="73"/>
      <c r="M7" s="269"/>
      <c r="N7" s="216"/>
    </row>
    <row r="8" spans="1:18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405">
        <f t="shared" ref="I8" si="0">SUM(I9:I12)</f>
        <v>1190410</v>
      </c>
      <c r="J8" s="405">
        <f t="shared" ref="J8" si="1">SUM(J9:J12)</f>
        <v>1190410</v>
      </c>
      <c r="K8" s="538">
        <f>SUM(K9:K12)</f>
        <v>1225860</v>
      </c>
      <c r="L8" s="405">
        <f>SUM(L9:L12)</f>
        <v>0</v>
      </c>
      <c r="M8" s="261">
        <f>SUM(M9:M12)</f>
        <v>1225860</v>
      </c>
      <c r="N8" s="217">
        <f t="shared" ref="N8:N32" si="2">IF(J8=0,"",M8/J8*100)</f>
        <v>102.97796557488597</v>
      </c>
    </row>
    <row r="9" spans="1:18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37">
        <v>994430</v>
      </c>
      <c r="J9" s="237">
        <v>994430</v>
      </c>
      <c r="K9" s="391">
        <f>983290+5000+790+2*450+2600+9*4200</f>
        <v>1030380</v>
      </c>
      <c r="L9" s="237">
        <v>0</v>
      </c>
      <c r="M9" s="262">
        <f>SUM(K9:L9)</f>
        <v>1030380</v>
      </c>
      <c r="N9" s="218">
        <f t="shared" si="2"/>
        <v>103.61513630924249</v>
      </c>
    </row>
    <row r="10" spans="1:18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37">
        <v>195980</v>
      </c>
      <c r="J10" s="237">
        <v>195980</v>
      </c>
      <c r="K10" s="391">
        <f>166330+2500+20000+1750+2*1000+2900</f>
        <v>195480</v>
      </c>
      <c r="L10" s="237">
        <v>0</v>
      </c>
      <c r="M10" s="262">
        <f t="shared" ref="M10:M11" si="3">SUM(K10:L10)</f>
        <v>195480</v>
      </c>
      <c r="N10" s="218">
        <f t="shared" si="2"/>
        <v>99.744871925706704</v>
      </c>
    </row>
    <row r="11" spans="1:18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406">
        <v>0</v>
      </c>
      <c r="J11" s="406">
        <v>0</v>
      </c>
      <c r="K11" s="539">
        <v>0</v>
      </c>
      <c r="L11" s="406">
        <v>0</v>
      </c>
      <c r="M11" s="262">
        <f t="shared" si="3"/>
        <v>0</v>
      </c>
      <c r="N11" s="218" t="str">
        <f t="shared" si="2"/>
        <v/>
      </c>
      <c r="P11" s="50"/>
    </row>
    <row r="12" spans="1:18" ht="12.95" customHeight="1">
      <c r="B12" s="10"/>
      <c r="C12" s="11"/>
      <c r="D12" s="11"/>
      <c r="E12" s="170"/>
      <c r="F12" s="184"/>
      <c r="G12" s="203"/>
      <c r="H12" s="472"/>
      <c r="I12" s="237"/>
      <c r="J12" s="237"/>
      <c r="K12" s="393"/>
      <c r="L12" s="237"/>
      <c r="M12" s="262"/>
      <c r="N12" s="218" t="str">
        <f t="shared" si="2"/>
        <v/>
      </c>
    </row>
    <row r="13" spans="1:18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405">
        <f t="shared" ref="I13:J13" si="4">I14</f>
        <v>106440</v>
      </c>
      <c r="J13" s="405">
        <f t="shared" si="4"/>
        <v>106440</v>
      </c>
      <c r="K13" s="538">
        <f>K14</f>
        <v>111700</v>
      </c>
      <c r="L13" s="405">
        <f>L14</f>
        <v>0</v>
      </c>
      <c r="M13" s="261">
        <f>M14</f>
        <v>111700</v>
      </c>
      <c r="N13" s="217">
        <f t="shared" si="2"/>
        <v>104.94175122134537</v>
      </c>
    </row>
    <row r="14" spans="1:18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37">
        <v>106440</v>
      </c>
      <c r="J14" s="237">
        <v>106440</v>
      </c>
      <c r="K14" s="391">
        <f>105500+1500+90+2*50+280+9*470</f>
        <v>111700</v>
      </c>
      <c r="L14" s="237">
        <v>0</v>
      </c>
      <c r="M14" s="262">
        <f>SUM(K14:L14)</f>
        <v>111700</v>
      </c>
      <c r="N14" s="218">
        <f t="shared" si="2"/>
        <v>104.94175122134537</v>
      </c>
    </row>
    <row r="15" spans="1:18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2"/>
        <v/>
      </c>
      <c r="R15" s="51"/>
    </row>
    <row r="16" spans="1:18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4">
        <f t="shared" ref="I16" si="5">SUM(I17:I26)</f>
        <v>239000</v>
      </c>
      <c r="J16" s="244">
        <f t="shared" ref="J16" si="6">SUM(J17:J26)</f>
        <v>239000</v>
      </c>
      <c r="K16" s="533">
        <f>SUM(K17:K26)</f>
        <v>238100</v>
      </c>
      <c r="L16" s="242">
        <f>SUM(L17:L26)</f>
        <v>0</v>
      </c>
      <c r="M16" s="264">
        <f>SUM(M17:M26)</f>
        <v>238100</v>
      </c>
      <c r="N16" s="217">
        <f t="shared" si="2"/>
        <v>99.623430962343093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1500</v>
      </c>
      <c r="J17" s="245">
        <v>1500</v>
      </c>
      <c r="K17" s="390">
        <v>2100</v>
      </c>
      <c r="L17" s="241">
        <v>0</v>
      </c>
      <c r="M17" s="262">
        <f t="shared" ref="M17:M26" si="7">SUM(K17:L17)</f>
        <v>2100</v>
      </c>
      <c r="N17" s="218">
        <f t="shared" si="2"/>
        <v>140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17000</v>
      </c>
      <c r="J18" s="245">
        <v>17000</v>
      </c>
      <c r="K18" s="390">
        <v>18000</v>
      </c>
      <c r="L18" s="241">
        <v>0</v>
      </c>
      <c r="M18" s="262">
        <f t="shared" si="7"/>
        <v>18000</v>
      </c>
      <c r="N18" s="218">
        <f t="shared" si="2"/>
        <v>105.88235294117648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70000</v>
      </c>
      <c r="J19" s="245">
        <v>70000</v>
      </c>
      <c r="K19" s="390">
        <v>70000</v>
      </c>
      <c r="L19" s="241">
        <v>0</v>
      </c>
      <c r="M19" s="262">
        <f t="shared" si="7"/>
        <v>70000</v>
      </c>
      <c r="N19" s="218">
        <f t="shared" si="2"/>
        <v>100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27000</v>
      </c>
      <c r="J20" s="245">
        <v>27000</v>
      </c>
      <c r="K20" s="391">
        <v>20500</v>
      </c>
      <c r="L20" s="245">
        <v>0</v>
      </c>
      <c r="M20" s="262">
        <f t="shared" si="7"/>
        <v>20500</v>
      </c>
      <c r="N20" s="218">
        <f t="shared" si="2"/>
        <v>75.925925925925924</v>
      </c>
      <c r="O20" s="45"/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9000</v>
      </c>
      <c r="J21" s="245">
        <v>9000</v>
      </c>
      <c r="K21" s="390">
        <v>10000</v>
      </c>
      <c r="L21" s="241">
        <v>0</v>
      </c>
      <c r="M21" s="262">
        <f t="shared" si="7"/>
        <v>10000</v>
      </c>
      <c r="N21" s="218">
        <f t="shared" si="2"/>
        <v>111.11111111111111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7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7000</v>
      </c>
      <c r="J23" s="245">
        <v>7000</v>
      </c>
      <c r="K23" s="391">
        <v>7000</v>
      </c>
      <c r="L23" s="245">
        <v>0</v>
      </c>
      <c r="M23" s="262">
        <f t="shared" si="7"/>
        <v>7000</v>
      </c>
      <c r="N23" s="218">
        <f t="shared" si="2"/>
        <v>100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2500</v>
      </c>
      <c r="J24" s="245">
        <v>2500</v>
      </c>
      <c r="K24" s="391">
        <v>3000</v>
      </c>
      <c r="L24" s="245">
        <v>0</v>
      </c>
      <c r="M24" s="262">
        <f t="shared" si="7"/>
        <v>3000</v>
      </c>
      <c r="N24" s="218">
        <f t="shared" si="2"/>
        <v>120</v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105000</v>
      </c>
      <c r="J25" s="245">
        <v>105000</v>
      </c>
      <c r="K25" s="391">
        <v>107500</v>
      </c>
      <c r="L25" s="245">
        <v>0</v>
      </c>
      <c r="M25" s="262">
        <f t="shared" si="7"/>
        <v>107500</v>
      </c>
      <c r="N25" s="218">
        <f t="shared" si="2"/>
        <v>102.38095238095238</v>
      </c>
      <c r="O25" s="58"/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5" s="1" customFormat="1" ht="12.95" customHeight="1">
      <c r="A27" s="165"/>
      <c r="B27" s="12"/>
      <c r="C27" s="8"/>
      <c r="D27" s="8"/>
      <c r="E27" s="458"/>
      <c r="F27" s="194"/>
      <c r="G27" s="214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5" ht="12.95" customHeight="1">
      <c r="B28" s="10"/>
      <c r="C28" s="11"/>
      <c r="D28" s="11"/>
      <c r="E28" s="170"/>
      <c r="F28" s="184"/>
      <c r="G28" s="203"/>
      <c r="H28" s="24"/>
      <c r="I28" s="244"/>
      <c r="J28" s="244"/>
      <c r="K28" s="532"/>
      <c r="L28" s="244"/>
      <c r="M28" s="264"/>
      <c r="N28" s="218" t="str">
        <f t="shared" si="2"/>
        <v/>
      </c>
    </row>
    <row r="29" spans="1:15" s="1" customFormat="1" ht="12.95" customHeight="1">
      <c r="A29" s="165"/>
      <c r="B29" s="12"/>
      <c r="C29" s="8"/>
      <c r="D29" s="8"/>
      <c r="E29" s="8"/>
      <c r="F29" s="183">
        <v>821000</v>
      </c>
      <c r="G29" s="202"/>
      <c r="H29" s="25" t="s">
        <v>89</v>
      </c>
      <c r="I29" s="244">
        <f t="shared" ref="I29" si="8">I30+I31</f>
        <v>5000</v>
      </c>
      <c r="J29" s="244">
        <f t="shared" ref="J29" si="9">J30+J31</f>
        <v>5000</v>
      </c>
      <c r="K29" s="532">
        <f>K30+K31</f>
        <v>50000</v>
      </c>
      <c r="L29" s="244">
        <f>L30+L31</f>
        <v>0</v>
      </c>
      <c r="M29" s="264">
        <f>M30+M31</f>
        <v>50000</v>
      </c>
      <c r="N29" s="217">
        <f t="shared" si="2"/>
        <v>1000</v>
      </c>
    </row>
    <row r="30" spans="1:15" ht="12.95" customHeight="1">
      <c r="B30" s="10"/>
      <c r="C30" s="11"/>
      <c r="D30" s="11"/>
      <c r="E30" s="170"/>
      <c r="F30" s="184">
        <v>821200</v>
      </c>
      <c r="G30" s="203"/>
      <c r="H30" s="24" t="s">
        <v>90</v>
      </c>
      <c r="I30" s="245">
        <v>0</v>
      </c>
      <c r="J30" s="245">
        <v>0</v>
      </c>
      <c r="K30" s="391">
        <v>5000</v>
      </c>
      <c r="L30" s="245">
        <v>0</v>
      </c>
      <c r="M30" s="262">
        <f t="shared" ref="M30:M31" si="10">SUM(K30:L30)</f>
        <v>5000</v>
      </c>
      <c r="N30" s="218" t="str">
        <f t="shared" si="2"/>
        <v/>
      </c>
    </row>
    <row r="31" spans="1:15" ht="12.95" customHeight="1">
      <c r="B31" s="10"/>
      <c r="C31" s="11"/>
      <c r="D31" s="11"/>
      <c r="E31" s="170"/>
      <c r="F31" s="184">
        <v>821300</v>
      </c>
      <c r="G31" s="203"/>
      <c r="H31" s="24" t="s">
        <v>91</v>
      </c>
      <c r="I31" s="245">
        <v>5000</v>
      </c>
      <c r="J31" s="245">
        <v>5000</v>
      </c>
      <c r="K31" s="391">
        <v>45000</v>
      </c>
      <c r="L31" s="245">
        <v>0</v>
      </c>
      <c r="M31" s="262">
        <f t="shared" si="10"/>
        <v>45000</v>
      </c>
      <c r="N31" s="218">
        <f t="shared" si="2"/>
        <v>900</v>
      </c>
    </row>
    <row r="32" spans="1:15" ht="12.95" customHeight="1">
      <c r="B32" s="10"/>
      <c r="C32" s="11"/>
      <c r="D32" s="11"/>
      <c r="E32" s="170"/>
      <c r="F32" s="184"/>
      <c r="G32" s="203"/>
      <c r="H32" s="24"/>
      <c r="I32" s="241"/>
      <c r="J32" s="241"/>
      <c r="K32" s="390"/>
      <c r="L32" s="241"/>
      <c r="M32" s="263"/>
      <c r="N32" s="218" t="str">
        <f t="shared" si="2"/>
        <v/>
      </c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25" t="s">
        <v>92</v>
      </c>
      <c r="I33" s="408">
        <v>41</v>
      </c>
      <c r="J33" s="408">
        <v>41</v>
      </c>
      <c r="K33" s="535">
        <v>43</v>
      </c>
      <c r="L33" s="408"/>
      <c r="M33" s="266">
        <v>43</v>
      </c>
      <c r="N33" s="218"/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106</v>
      </c>
      <c r="I34" s="398">
        <f>I8+I13+I16+I29</f>
        <v>1540850</v>
      </c>
      <c r="J34" s="172">
        <f>J8+J13+J16+J29</f>
        <v>1540850</v>
      </c>
      <c r="K34" s="401">
        <f>K8+K13+K16+K29</f>
        <v>1625660</v>
      </c>
      <c r="L34" s="172">
        <f>L8+L13+L16+L29</f>
        <v>0</v>
      </c>
      <c r="M34" s="264">
        <f>M8+M13+M16+M29</f>
        <v>1625660</v>
      </c>
      <c r="N34" s="217">
        <f>IF(J34=0,"",M34/J34*100)</f>
        <v>105.50410487717818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93</v>
      </c>
      <c r="I35" s="398">
        <f>I34</f>
        <v>1540850</v>
      </c>
      <c r="J35" s="172">
        <f>J34</f>
        <v>1540850</v>
      </c>
      <c r="K35" s="401">
        <f>K34</f>
        <v>1625660</v>
      </c>
      <c r="L35" s="172">
        <f>L34</f>
        <v>0</v>
      </c>
      <c r="M35" s="264">
        <f>M34</f>
        <v>1625660</v>
      </c>
      <c r="N35" s="217">
        <f>IF(J35=0,"",M35/J35*100)</f>
        <v>105.50410487717818</v>
      </c>
    </row>
    <row r="36" spans="1:14" s="1" customFormat="1" ht="12.95" customHeight="1">
      <c r="A36" s="165"/>
      <c r="B36" s="12"/>
      <c r="C36" s="8"/>
      <c r="D36" s="8"/>
      <c r="E36" s="8"/>
      <c r="F36" s="183"/>
      <c r="G36" s="202"/>
      <c r="H36" s="8" t="s">
        <v>94</v>
      </c>
      <c r="I36" s="29"/>
      <c r="J36" s="29"/>
      <c r="K36" s="400"/>
      <c r="L36" s="163"/>
      <c r="M36" s="263"/>
      <c r="N36" s="219"/>
    </row>
    <row r="37" spans="1:14" ht="12.95" customHeight="1" thickBot="1">
      <c r="B37" s="16"/>
      <c r="C37" s="17"/>
      <c r="D37" s="17"/>
      <c r="E37" s="17"/>
      <c r="F37" s="185"/>
      <c r="G37" s="204"/>
      <c r="H37" s="17"/>
      <c r="I37" s="31"/>
      <c r="J37" s="31"/>
      <c r="K37" s="402"/>
      <c r="L37" s="31"/>
      <c r="M37" s="267"/>
      <c r="N37" s="220"/>
    </row>
    <row r="38" spans="1:14" ht="12.95" customHeight="1"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B44" s="45"/>
      <c r="F44" s="186"/>
      <c r="G44" s="205"/>
      <c r="M44" s="270"/>
    </row>
    <row r="45" spans="1:14" ht="12.95" customHeight="1">
      <c r="B45" s="45"/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657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31" t="s">
        <v>543</v>
      </c>
      <c r="L5" s="432" t="s">
        <v>544</v>
      </c>
      <c r="M5" s="433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119</v>
      </c>
      <c r="C7" s="7" t="s">
        <v>121</v>
      </c>
      <c r="D7" s="7" t="s">
        <v>81</v>
      </c>
      <c r="E7" s="459" t="s">
        <v>728</v>
      </c>
      <c r="F7" s="5"/>
      <c r="G7" s="167"/>
      <c r="H7" s="5"/>
      <c r="I7" s="73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35040</v>
      </c>
      <c r="J8" s="244">
        <f t="shared" ref="J8" si="1">SUM(J9:J12)</f>
        <v>35040</v>
      </c>
      <c r="K8" s="532">
        <f>SUM(K9:K12)</f>
        <v>36430</v>
      </c>
      <c r="L8" s="244">
        <f>SUM(L9:L12)</f>
        <v>0</v>
      </c>
      <c r="M8" s="261">
        <f>SUM(M9:M12)</f>
        <v>36430</v>
      </c>
      <c r="N8" s="217">
        <f t="shared" ref="N8:N31" si="2">IF(J8=0,"",M8/J8*100)</f>
        <v>103.96689497716895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31300</v>
      </c>
      <c r="J9" s="245">
        <v>31300</v>
      </c>
      <c r="K9" s="391">
        <f>32690+100</f>
        <v>32790</v>
      </c>
      <c r="L9" s="245">
        <v>0</v>
      </c>
      <c r="M9" s="262">
        <f>SUM(K9:L9)</f>
        <v>32790</v>
      </c>
      <c r="N9" s="218">
        <f t="shared" si="2"/>
        <v>104.76038338658147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3740</v>
      </c>
      <c r="J10" s="245">
        <v>3740</v>
      </c>
      <c r="K10" s="391">
        <f>3540+100</f>
        <v>3640</v>
      </c>
      <c r="L10" s="245">
        <v>0</v>
      </c>
      <c r="M10" s="262">
        <f t="shared" ref="M10:M11" si="3">SUM(K10:L10)</f>
        <v>3640</v>
      </c>
      <c r="N10" s="218">
        <f t="shared" si="2"/>
        <v>97.326203208556151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3310</v>
      </c>
      <c r="J13" s="244">
        <f t="shared" si="4"/>
        <v>3310</v>
      </c>
      <c r="K13" s="532">
        <f>K14</f>
        <v>3490</v>
      </c>
      <c r="L13" s="244">
        <f>L14</f>
        <v>0</v>
      </c>
      <c r="M13" s="261">
        <f>M14</f>
        <v>3490</v>
      </c>
      <c r="N13" s="217">
        <f t="shared" si="2"/>
        <v>105.4380664652568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3310</v>
      </c>
      <c r="J14" s="245">
        <v>3310</v>
      </c>
      <c r="K14" s="391">
        <f>3440+50</f>
        <v>3490</v>
      </c>
      <c r="L14" s="245">
        <v>0</v>
      </c>
      <c r="M14" s="262">
        <f>SUM(K14:L14)</f>
        <v>3490</v>
      </c>
      <c r="N14" s="218">
        <f t="shared" si="2"/>
        <v>105.4380664652568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5"/>
      <c r="J15" s="245"/>
      <c r="K15" s="390"/>
      <c r="L15" s="241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4">
        <f t="shared" ref="I16" si="5">SUM(I17:I26)</f>
        <v>1940</v>
      </c>
      <c r="J16" s="244">
        <f t="shared" ref="J16" si="6">SUM(J17:J26)</f>
        <v>1940</v>
      </c>
      <c r="K16" s="533">
        <f>SUM(K17:K26)</f>
        <v>2800</v>
      </c>
      <c r="L16" s="242">
        <f>SUM(L17:L26)</f>
        <v>0</v>
      </c>
      <c r="M16" s="264">
        <f>SUM(M17:M26)</f>
        <v>2800</v>
      </c>
      <c r="N16" s="218">
        <f t="shared" si="2"/>
        <v>144.32989690721649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240</v>
      </c>
      <c r="J17" s="245">
        <v>240</v>
      </c>
      <c r="K17" s="390">
        <v>300</v>
      </c>
      <c r="L17" s="241">
        <v>0</v>
      </c>
      <c r="M17" s="262">
        <f t="shared" ref="M17:M26" si="7">SUM(K17:L17)</f>
        <v>300</v>
      </c>
      <c r="N17" s="218">
        <f t="shared" si="2"/>
        <v>125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0">
        <v>0</v>
      </c>
      <c r="L18" s="241">
        <v>0</v>
      </c>
      <c r="M18" s="262">
        <f t="shared" si="7"/>
        <v>0</v>
      </c>
      <c r="N18" s="218" t="str">
        <f t="shared" si="2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800</v>
      </c>
      <c r="J19" s="245">
        <v>800</v>
      </c>
      <c r="K19" s="390">
        <v>1000</v>
      </c>
      <c r="L19" s="241">
        <v>0</v>
      </c>
      <c r="M19" s="262">
        <f t="shared" si="7"/>
        <v>1000</v>
      </c>
      <c r="N19" s="218">
        <f t="shared" si="2"/>
        <v>125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500</v>
      </c>
      <c r="J20" s="245">
        <v>500</v>
      </c>
      <c r="K20" s="390">
        <v>500</v>
      </c>
      <c r="L20" s="241">
        <v>0</v>
      </c>
      <c r="M20" s="262">
        <f t="shared" si="7"/>
        <v>500</v>
      </c>
      <c r="N20" s="218">
        <f t="shared" si="2"/>
        <v>100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0">
        <v>0</v>
      </c>
      <c r="L21" s="241">
        <v>0</v>
      </c>
      <c r="M21" s="262">
        <f t="shared" si="7"/>
        <v>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0</v>
      </c>
      <c r="J23" s="245">
        <v>0</v>
      </c>
      <c r="K23" s="390">
        <v>0</v>
      </c>
      <c r="L23" s="241">
        <v>0</v>
      </c>
      <c r="M23" s="262">
        <f t="shared" si="7"/>
        <v>0</v>
      </c>
      <c r="N23" s="218" t="str">
        <f t="shared" si="2"/>
        <v/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0">
        <v>0</v>
      </c>
      <c r="L24" s="241">
        <v>0</v>
      </c>
      <c r="M24" s="262">
        <f t="shared" si="7"/>
        <v>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400</v>
      </c>
      <c r="J25" s="245">
        <v>400</v>
      </c>
      <c r="K25" s="391">
        <v>1000</v>
      </c>
      <c r="L25" s="241">
        <v>0</v>
      </c>
      <c r="M25" s="262">
        <f t="shared" si="7"/>
        <v>1000</v>
      </c>
      <c r="N25" s="218">
        <f t="shared" si="2"/>
        <v>250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1">
        <v>0</v>
      </c>
      <c r="J26" s="241">
        <v>0</v>
      </c>
      <c r="K26" s="390">
        <v>0</v>
      </c>
      <c r="L26" s="241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458"/>
      <c r="F27" s="194"/>
      <c r="G27" s="214"/>
      <c r="H27" s="25"/>
      <c r="I27" s="241"/>
      <c r="J27" s="241"/>
      <c r="K27" s="390"/>
      <c r="L27" s="241"/>
      <c r="M27" s="265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0">
        <f t="shared" ref="I28:L28" si="8">SUM(I29:I30)</f>
        <v>500</v>
      </c>
      <c r="J28" s="240">
        <f t="shared" ref="J28" si="9">SUM(J29:J30)</f>
        <v>500</v>
      </c>
      <c r="K28" s="534">
        <f t="shared" si="8"/>
        <v>1000</v>
      </c>
      <c r="L28" s="240">
        <f t="shared" si="8"/>
        <v>0</v>
      </c>
      <c r="M28" s="275">
        <f>SUM(M29:M30)</f>
        <v>1000</v>
      </c>
      <c r="N28" s="217">
        <f t="shared" si="2"/>
        <v>200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1">
        <v>0</v>
      </c>
      <c r="J29" s="241">
        <v>0</v>
      </c>
      <c r="K29" s="390">
        <v>0</v>
      </c>
      <c r="L29" s="241">
        <v>0</v>
      </c>
      <c r="M29" s="262">
        <f t="shared" ref="M29:M30" si="10">SUM(K29:L29)</f>
        <v>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500</v>
      </c>
      <c r="J30" s="245">
        <v>500</v>
      </c>
      <c r="K30" s="391">
        <v>1000</v>
      </c>
      <c r="L30" s="245">
        <v>0</v>
      </c>
      <c r="M30" s="262">
        <f t="shared" si="10"/>
        <v>1000</v>
      </c>
      <c r="N30" s="218">
        <f t="shared" si="2"/>
        <v>200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4">
        <v>1</v>
      </c>
      <c r="J32" s="244">
        <v>1</v>
      </c>
      <c r="K32" s="532">
        <v>1</v>
      </c>
      <c r="L32" s="244"/>
      <c r="M32" s="264">
        <v>1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40790</v>
      </c>
      <c r="J33" s="172">
        <f>J8+J13+J16+J28</f>
        <v>40790</v>
      </c>
      <c r="K33" s="401">
        <f>K8+K13+K16+K28</f>
        <v>43720</v>
      </c>
      <c r="L33" s="172">
        <f>L8+L13+L16+L28</f>
        <v>0</v>
      </c>
      <c r="M33" s="264">
        <f>M8+M13+M16+M28</f>
        <v>43720</v>
      </c>
      <c r="N33" s="217">
        <f>IF(J33=0,"",M33/J33*100)</f>
        <v>107.18313312086296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7"/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F40" s="186"/>
      <c r="G40" s="205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3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658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119</v>
      </c>
      <c r="C7" s="7" t="s">
        <v>121</v>
      </c>
      <c r="D7" s="7" t="s">
        <v>109</v>
      </c>
      <c r="E7" s="459" t="s">
        <v>728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SUM(I9:I12)</f>
        <v>53030</v>
      </c>
      <c r="J8" s="244">
        <f t="shared" si="0"/>
        <v>53030</v>
      </c>
      <c r="K8" s="532">
        <f>SUM(K9:K12)</f>
        <v>80350</v>
      </c>
      <c r="L8" s="244">
        <f>SUM(L9:L12)</f>
        <v>0</v>
      </c>
      <c r="M8" s="261">
        <f>SUM(M9:M12)</f>
        <v>80350</v>
      </c>
      <c r="N8" s="217">
        <f t="shared" ref="N8:N31" si="1">IF(J8=0,"",M8/J8*100)</f>
        <v>151.51800867433531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44450</v>
      </c>
      <c r="J9" s="245">
        <v>44450</v>
      </c>
      <c r="K9" s="391">
        <f>67610+300+1100</f>
        <v>69010</v>
      </c>
      <c r="L9" s="245">
        <v>0</v>
      </c>
      <c r="M9" s="262">
        <f>SUM(K9:L9)</f>
        <v>69010</v>
      </c>
      <c r="N9" s="218">
        <f t="shared" si="1"/>
        <v>155.25309336332958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8580</v>
      </c>
      <c r="J10" s="245">
        <v>8580</v>
      </c>
      <c r="K10" s="391">
        <f>10940+400</f>
        <v>11340</v>
      </c>
      <c r="L10" s="245">
        <v>0</v>
      </c>
      <c r="M10" s="262">
        <f t="shared" ref="M10:M11" si="2">SUM(K10:L10)</f>
        <v>11340</v>
      </c>
      <c r="N10" s="218">
        <f t="shared" si="1"/>
        <v>132.16783216783216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3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4800</v>
      </c>
      <c r="J13" s="244">
        <f t="shared" si="3"/>
        <v>4800</v>
      </c>
      <c r="K13" s="532">
        <f>K14</f>
        <v>7370</v>
      </c>
      <c r="L13" s="244">
        <f>L14</f>
        <v>0</v>
      </c>
      <c r="M13" s="261">
        <f>M14</f>
        <v>7370</v>
      </c>
      <c r="N13" s="217">
        <f t="shared" si="1"/>
        <v>153.54166666666666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4800</v>
      </c>
      <c r="J14" s="245">
        <v>4800</v>
      </c>
      <c r="K14" s="391">
        <f>7110+150+110</f>
        <v>7370</v>
      </c>
      <c r="L14" s="245">
        <v>0</v>
      </c>
      <c r="M14" s="262">
        <f>SUM(K14:L14)</f>
        <v>7370</v>
      </c>
      <c r="N14" s="218">
        <f t="shared" si="1"/>
        <v>153.54166666666666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4">SUM(I17:I26)</f>
        <v>2350</v>
      </c>
      <c r="J16" s="242">
        <f t="shared" ref="J16" si="5">SUM(J17:J26)</f>
        <v>2350</v>
      </c>
      <c r="K16" s="533">
        <f>SUM(K17:K26)</f>
        <v>3500</v>
      </c>
      <c r="L16" s="242">
        <f>SUM(L17:L26)</f>
        <v>0</v>
      </c>
      <c r="M16" s="264">
        <f>SUM(M17:M26)</f>
        <v>3500</v>
      </c>
      <c r="N16" s="217">
        <f t="shared" si="1"/>
        <v>148.93617021276594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250</v>
      </c>
      <c r="J17" s="245">
        <v>250</v>
      </c>
      <c r="K17" s="390">
        <v>400</v>
      </c>
      <c r="L17" s="241">
        <v>0</v>
      </c>
      <c r="M17" s="262">
        <f t="shared" ref="M17:M26" si="6">SUM(K17:L17)</f>
        <v>400</v>
      </c>
      <c r="N17" s="218">
        <f t="shared" si="1"/>
        <v>160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0">
        <v>0</v>
      </c>
      <c r="L18" s="241">
        <v>0</v>
      </c>
      <c r="M18" s="262">
        <f t="shared" si="6"/>
        <v>0</v>
      </c>
      <c r="N18" s="218" t="str">
        <f t="shared" si="1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700</v>
      </c>
      <c r="J19" s="245">
        <v>700</v>
      </c>
      <c r="K19" s="390">
        <v>800</v>
      </c>
      <c r="L19" s="241">
        <v>0</v>
      </c>
      <c r="M19" s="262">
        <f t="shared" si="6"/>
        <v>800</v>
      </c>
      <c r="N19" s="218">
        <f t="shared" si="1"/>
        <v>114.28571428571428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600</v>
      </c>
      <c r="J20" s="245">
        <v>600</v>
      </c>
      <c r="K20" s="390">
        <v>800</v>
      </c>
      <c r="L20" s="241">
        <v>0</v>
      </c>
      <c r="M20" s="262">
        <f t="shared" si="6"/>
        <v>800</v>
      </c>
      <c r="N20" s="218">
        <f t="shared" si="1"/>
        <v>133.33333333333331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0">
        <v>0</v>
      </c>
      <c r="L21" s="241">
        <v>0</v>
      </c>
      <c r="M21" s="262">
        <f t="shared" si="6"/>
        <v>0</v>
      </c>
      <c r="N21" s="218" t="str">
        <f t="shared" si="1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6"/>
        <v>0</v>
      </c>
      <c r="N22" s="218" t="str">
        <f t="shared" si="1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300</v>
      </c>
      <c r="J23" s="245">
        <v>300</v>
      </c>
      <c r="K23" s="390">
        <v>500</v>
      </c>
      <c r="L23" s="241">
        <v>0</v>
      </c>
      <c r="M23" s="262">
        <f t="shared" si="6"/>
        <v>500</v>
      </c>
      <c r="N23" s="218">
        <f t="shared" si="1"/>
        <v>166.66666666666669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0">
        <v>0</v>
      </c>
      <c r="L24" s="241">
        <v>0</v>
      </c>
      <c r="M24" s="262">
        <f t="shared" si="6"/>
        <v>0</v>
      </c>
      <c r="N24" s="218" t="str">
        <f t="shared" si="1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500</v>
      </c>
      <c r="J25" s="245">
        <v>500</v>
      </c>
      <c r="K25" s="391">
        <v>1000</v>
      </c>
      <c r="L25" s="245">
        <v>0</v>
      </c>
      <c r="M25" s="262">
        <f t="shared" si="6"/>
        <v>1000</v>
      </c>
      <c r="N25" s="218">
        <f t="shared" si="1"/>
        <v>200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3" t="s">
        <v>447</v>
      </c>
      <c r="I26" s="241">
        <v>0</v>
      </c>
      <c r="J26" s="241">
        <v>0</v>
      </c>
      <c r="K26" s="390">
        <v>0</v>
      </c>
      <c r="L26" s="241">
        <v>0</v>
      </c>
      <c r="M26" s="262">
        <f t="shared" si="6"/>
        <v>0</v>
      </c>
      <c r="N26" s="218" t="str">
        <f t="shared" si="1"/>
        <v/>
      </c>
    </row>
    <row r="27" spans="1:14" s="1" customFormat="1" ht="12.95" customHeight="1">
      <c r="A27" s="165"/>
      <c r="B27" s="12"/>
      <c r="C27" s="8"/>
      <c r="D27" s="8"/>
      <c r="E27" s="458"/>
      <c r="F27" s="194"/>
      <c r="G27" s="214"/>
      <c r="H27" s="25"/>
      <c r="I27" s="241"/>
      <c r="J27" s="241"/>
      <c r="K27" s="390"/>
      <c r="L27" s="241"/>
      <c r="M27" s="263"/>
      <c r="N27" s="218" t="str">
        <f t="shared" si="1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0">
        <f t="shared" ref="I28" si="7">SUM(I29:I30)</f>
        <v>1500</v>
      </c>
      <c r="J28" s="240">
        <f t="shared" ref="J28" si="8">SUM(J29:J30)</f>
        <v>1500</v>
      </c>
      <c r="K28" s="534">
        <f>SUM(K29:K30)</f>
        <v>1000</v>
      </c>
      <c r="L28" s="240">
        <f>SUM(L29:L30)</f>
        <v>0</v>
      </c>
      <c r="M28" s="264">
        <f>SUM(M29:M30)</f>
        <v>1000</v>
      </c>
      <c r="N28" s="217">
        <f t="shared" si="1"/>
        <v>66.666666666666657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1">
        <v>0</v>
      </c>
      <c r="J29" s="241">
        <v>0</v>
      </c>
      <c r="K29" s="390">
        <v>0</v>
      </c>
      <c r="L29" s="241">
        <v>0</v>
      </c>
      <c r="M29" s="262">
        <f t="shared" ref="M29:M30" si="9">SUM(K29:L29)</f>
        <v>0</v>
      </c>
      <c r="N29" s="218" t="str">
        <f t="shared" si="1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1">
        <v>1500</v>
      </c>
      <c r="J30" s="241">
        <v>1500</v>
      </c>
      <c r="K30" s="390">
        <v>1000</v>
      </c>
      <c r="L30" s="241">
        <v>0</v>
      </c>
      <c r="M30" s="262">
        <f t="shared" si="9"/>
        <v>1000</v>
      </c>
      <c r="N30" s="218">
        <f t="shared" si="1"/>
        <v>66.666666666666657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1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4">
        <v>3</v>
      </c>
      <c r="J32" s="244">
        <v>3</v>
      </c>
      <c r="K32" s="532">
        <v>3</v>
      </c>
      <c r="L32" s="244"/>
      <c r="M32" s="264">
        <v>3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61680</v>
      </c>
      <c r="J33" s="172">
        <f>J8+J13+J16+J28</f>
        <v>61680</v>
      </c>
      <c r="K33" s="401">
        <f>K8+K13+K16+K28</f>
        <v>92220</v>
      </c>
      <c r="L33" s="172">
        <f>L8+L13+L16+L28</f>
        <v>0</v>
      </c>
      <c r="M33" s="264">
        <f>M8+M13+M16+M28</f>
        <v>92220</v>
      </c>
      <c r="N33" s="217">
        <f>IF(J33=0,"",M33/J33*100)</f>
        <v>149.51361867704281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>
        <f>I33+'11'!I33</f>
        <v>102470</v>
      </c>
      <c r="J34" s="172">
        <f>J33+'11'!J33</f>
        <v>102470</v>
      </c>
      <c r="K34" s="401">
        <f>K33+'11'!K33</f>
        <v>135940</v>
      </c>
      <c r="L34" s="172">
        <f>L33+'11'!L33</f>
        <v>0</v>
      </c>
      <c r="M34" s="264">
        <f>M33+'11'!M33</f>
        <v>135940</v>
      </c>
      <c r="N34" s="217">
        <f>IF(J34=0,"",M34/J34*100)</f>
        <v>132.66321850297649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/>
      <c r="J35" s="15"/>
      <c r="K35" s="401"/>
      <c r="L35" s="172"/>
      <c r="M35" s="264"/>
      <c r="N35" s="217"/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F39" s="186"/>
      <c r="G39" s="205"/>
      <c r="M39" s="270"/>
    </row>
    <row r="40" spans="1:14" ht="12.95" customHeight="1">
      <c r="F40" s="186"/>
      <c r="G40" s="205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33"/>
  <sheetViews>
    <sheetView workbookViewId="0">
      <selection activeCell="AA25" sqref="AA25"/>
    </sheetView>
  </sheetViews>
  <sheetFormatPr defaultRowHeight="12.75"/>
  <cols>
    <col min="1" max="1" width="3.28515625" style="36" customWidth="1"/>
    <col min="7" max="7" width="10.7109375" customWidth="1"/>
    <col min="8" max="8" width="0.140625" hidden="1" customWidth="1"/>
    <col min="9" max="9" width="2.7109375" hidden="1" customWidth="1"/>
    <col min="10" max="10" width="8.28515625" style="36" customWidth="1"/>
    <col min="11" max="11" width="2.42578125" customWidth="1"/>
    <col min="12" max="12" width="4.140625" customWidth="1"/>
    <col min="19" max="19" width="3.85546875" customWidth="1"/>
    <col min="20" max="20" width="2.5703125" customWidth="1"/>
    <col min="21" max="21" width="8.5703125" customWidth="1"/>
  </cols>
  <sheetData>
    <row r="1" spans="1:21" ht="15.75">
      <c r="A1" s="837" t="s">
        <v>186</v>
      </c>
      <c r="B1" s="837"/>
      <c r="C1" s="837"/>
      <c r="D1" s="837"/>
      <c r="E1" s="837"/>
      <c r="F1" s="837"/>
      <c r="G1" s="837"/>
      <c r="H1" s="837"/>
      <c r="I1" s="837"/>
    </row>
    <row r="3" spans="1:21" s="41" customFormat="1">
      <c r="A3" s="375" t="s">
        <v>202</v>
      </c>
      <c r="B3" s="834" t="s">
        <v>204</v>
      </c>
      <c r="C3" s="835"/>
      <c r="D3" s="835"/>
      <c r="E3" s="835"/>
      <c r="F3" s="835"/>
      <c r="G3" s="835"/>
      <c r="H3" s="835"/>
      <c r="I3" s="836"/>
      <c r="J3" s="375" t="s">
        <v>197</v>
      </c>
      <c r="L3" s="375" t="s">
        <v>202</v>
      </c>
      <c r="M3" s="834" t="s">
        <v>204</v>
      </c>
      <c r="N3" s="835"/>
      <c r="O3" s="835"/>
      <c r="P3" s="835"/>
      <c r="Q3" s="835"/>
      <c r="R3" s="835"/>
      <c r="S3" s="835"/>
      <c r="T3" s="836"/>
      <c r="U3" s="375" t="s">
        <v>197</v>
      </c>
    </row>
    <row r="4" spans="1:21" s="33" customFormat="1" ht="17.100000000000001" customHeight="1">
      <c r="A4" s="362" t="s">
        <v>187</v>
      </c>
      <c r="B4" s="841" t="s">
        <v>188</v>
      </c>
      <c r="C4" s="842"/>
      <c r="D4" s="842"/>
      <c r="E4" s="842"/>
      <c r="F4" s="842"/>
      <c r="G4" s="842"/>
      <c r="H4" s="842"/>
      <c r="I4" s="843"/>
      <c r="J4" s="362">
        <v>3</v>
      </c>
      <c r="K4" s="363"/>
      <c r="L4" s="447" t="s">
        <v>601</v>
      </c>
      <c r="M4" s="597" t="s">
        <v>717</v>
      </c>
      <c r="N4" s="598"/>
      <c r="O4" s="598"/>
      <c r="P4" s="598"/>
      <c r="Q4" s="598"/>
      <c r="R4" s="598"/>
      <c r="S4" s="598"/>
      <c r="T4" s="599"/>
      <c r="U4" s="447">
        <v>42</v>
      </c>
    </row>
    <row r="5" spans="1:21" s="33" customFormat="1" ht="17.100000000000001" customHeight="1">
      <c r="A5" s="364" t="s">
        <v>189</v>
      </c>
      <c r="B5" s="838" t="s">
        <v>190</v>
      </c>
      <c r="C5" s="839"/>
      <c r="D5" s="839"/>
      <c r="E5" s="839"/>
      <c r="F5" s="839"/>
      <c r="G5" s="839"/>
      <c r="H5" s="839"/>
      <c r="I5" s="840"/>
      <c r="J5" s="364">
        <v>4</v>
      </c>
      <c r="K5" s="363"/>
      <c r="L5" s="364" t="s">
        <v>602</v>
      </c>
      <c r="M5" s="838" t="s">
        <v>718</v>
      </c>
      <c r="N5" s="839"/>
      <c r="O5" s="839"/>
      <c r="P5" s="839"/>
      <c r="Q5" s="839"/>
      <c r="R5" s="839"/>
      <c r="S5" s="839"/>
      <c r="T5" s="840"/>
      <c r="U5" s="364">
        <v>43</v>
      </c>
    </row>
    <row r="6" spans="1:21" s="33" customFormat="1" ht="17.100000000000001" customHeight="1">
      <c r="A6" s="364" t="s">
        <v>191</v>
      </c>
      <c r="B6" s="838" t="s">
        <v>356</v>
      </c>
      <c r="C6" s="839"/>
      <c r="D6" s="839"/>
      <c r="E6" s="839"/>
      <c r="F6" s="839"/>
      <c r="G6" s="839"/>
      <c r="H6" s="839"/>
      <c r="I6" s="840"/>
      <c r="J6" s="566">
        <v>13</v>
      </c>
      <c r="K6" s="363"/>
      <c r="L6" s="364" t="s">
        <v>603</v>
      </c>
      <c r="M6" s="592" t="s">
        <v>719</v>
      </c>
      <c r="N6" s="595"/>
      <c r="O6" s="595"/>
      <c r="P6" s="595"/>
      <c r="Q6" s="595"/>
      <c r="R6" s="595"/>
      <c r="S6" s="595"/>
      <c r="T6" s="596"/>
      <c r="U6" s="364">
        <v>44</v>
      </c>
    </row>
    <row r="7" spans="1:21" s="33" customFormat="1" ht="17.100000000000001" customHeight="1">
      <c r="A7" s="364" t="s">
        <v>192</v>
      </c>
      <c r="B7" s="838" t="s">
        <v>193</v>
      </c>
      <c r="C7" s="839"/>
      <c r="D7" s="839"/>
      <c r="E7" s="839"/>
      <c r="F7" s="839"/>
      <c r="G7" s="839"/>
      <c r="H7" s="839"/>
      <c r="I7" s="840"/>
      <c r="J7" s="364">
        <v>16</v>
      </c>
      <c r="K7" s="363"/>
      <c r="L7" s="364" t="s">
        <v>604</v>
      </c>
      <c r="M7" s="592" t="s">
        <v>720</v>
      </c>
      <c r="N7" s="595"/>
      <c r="O7" s="595"/>
      <c r="P7" s="595"/>
      <c r="Q7" s="595"/>
      <c r="R7" s="595"/>
      <c r="S7" s="595"/>
      <c r="T7" s="596"/>
      <c r="U7" s="364">
        <v>45</v>
      </c>
    </row>
    <row r="8" spans="1:21" s="33" customFormat="1" ht="17.100000000000001" customHeight="1">
      <c r="A8" s="364" t="s">
        <v>203</v>
      </c>
      <c r="B8" s="838" t="s">
        <v>194</v>
      </c>
      <c r="C8" s="839"/>
      <c r="D8" s="839"/>
      <c r="E8" s="839"/>
      <c r="F8" s="839"/>
      <c r="G8" s="839"/>
      <c r="H8" s="839"/>
      <c r="I8" s="840"/>
      <c r="J8" s="364">
        <v>17</v>
      </c>
      <c r="K8" s="363"/>
      <c r="L8" s="364" t="s">
        <v>605</v>
      </c>
      <c r="M8" s="592" t="s">
        <v>721</v>
      </c>
      <c r="N8" s="595"/>
      <c r="O8" s="595"/>
      <c r="P8" s="595"/>
      <c r="Q8" s="595"/>
      <c r="R8" s="595"/>
      <c r="S8" s="595"/>
      <c r="T8" s="596"/>
      <c r="U8" s="364">
        <v>46</v>
      </c>
    </row>
    <row r="9" spans="1:21" s="33" customFormat="1" ht="17.100000000000001" customHeight="1">
      <c r="A9" s="364" t="s">
        <v>575</v>
      </c>
      <c r="B9" s="838" t="s">
        <v>195</v>
      </c>
      <c r="C9" s="839"/>
      <c r="D9" s="839"/>
      <c r="E9" s="839"/>
      <c r="F9" s="839"/>
      <c r="G9" s="839"/>
      <c r="H9" s="839"/>
      <c r="I9" s="840"/>
      <c r="J9" s="364">
        <v>18</v>
      </c>
      <c r="K9" s="363"/>
      <c r="L9" s="364" t="s">
        <v>606</v>
      </c>
      <c r="M9" s="592" t="s">
        <v>655</v>
      </c>
      <c r="N9" s="595"/>
      <c r="O9" s="595"/>
      <c r="P9" s="595"/>
      <c r="Q9" s="595"/>
      <c r="R9" s="595"/>
      <c r="S9" s="595"/>
      <c r="T9" s="596"/>
      <c r="U9" s="364">
        <v>47</v>
      </c>
    </row>
    <row r="10" spans="1:21" s="33" customFormat="1" ht="17.100000000000001" customHeight="1">
      <c r="A10" s="364" t="s">
        <v>578</v>
      </c>
      <c r="B10" s="467" t="s">
        <v>646</v>
      </c>
      <c r="C10" s="468"/>
      <c r="D10" s="468"/>
      <c r="E10" s="468"/>
      <c r="F10" s="468"/>
      <c r="G10" s="468"/>
      <c r="H10" s="468"/>
      <c r="I10" s="469"/>
      <c r="J10" s="364">
        <v>19</v>
      </c>
      <c r="K10" s="363"/>
      <c r="L10" s="364" t="s">
        <v>607</v>
      </c>
      <c r="M10" s="592" t="s">
        <v>669</v>
      </c>
      <c r="N10" s="595"/>
      <c r="O10" s="595"/>
      <c r="P10" s="595"/>
      <c r="Q10" s="595"/>
      <c r="R10" s="595"/>
      <c r="S10" s="595"/>
      <c r="T10" s="596"/>
      <c r="U10" s="364">
        <v>48</v>
      </c>
    </row>
    <row r="11" spans="1:21" s="33" customFormat="1" ht="17.100000000000001" customHeight="1">
      <c r="A11" s="364" t="s">
        <v>579</v>
      </c>
      <c r="B11" s="467" t="s">
        <v>644</v>
      </c>
      <c r="C11" s="468"/>
      <c r="D11" s="468"/>
      <c r="E11" s="468"/>
      <c r="F11" s="468"/>
      <c r="G11" s="468"/>
      <c r="H11" s="468"/>
      <c r="I11" s="469"/>
      <c r="J11" s="364">
        <v>20</v>
      </c>
      <c r="K11" s="363"/>
      <c r="L11" s="364" t="s">
        <v>608</v>
      </c>
      <c r="M11" s="592" t="s">
        <v>667</v>
      </c>
      <c r="N11" s="595"/>
      <c r="O11" s="595"/>
      <c r="P11" s="595"/>
      <c r="Q11" s="595"/>
      <c r="R11" s="595"/>
      <c r="S11" s="595"/>
      <c r="T11" s="596"/>
      <c r="U11" s="364">
        <v>49</v>
      </c>
    </row>
    <row r="12" spans="1:21" s="33" customFormat="1" ht="17.100000000000001" customHeight="1">
      <c r="A12" s="364" t="s">
        <v>580</v>
      </c>
      <c r="B12" s="467" t="s">
        <v>484</v>
      </c>
      <c r="C12" s="468"/>
      <c r="D12" s="468"/>
      <c r="E12" s="468"/>
      <c r="F12" s="468"/>
      <c r="G12" s="468"/>
      <c r="H12" s="468"/>
      <c r="I12" s="469"/>
      <c r="J12" s="364">
        <v>21</v>
      </c>
      <c r="K12" s="363"/>
      <c r="L12" s="364" t="s">
        <v>609</v>
      </c>
      <c r="M12" s="592" t="s">
        <v>198</v>
      </c>
      <c r="N12" s="595"/>
      <c r="O12" s="595"/>
      <c r="P12" s="595"/>
      <c r="Q12" s="595"/>
      <c r="R12" s="595"/>
      <c r="S12" s="595"/>
      <c r="T12" s="596"/>
      <c r="U12" s="364">
        <v>50</v>
      </c>
    </row>
    <row r="13" spans="1:21" s="33" customFormat="1" ht="17.100000000000001" customHeight="1">
      <c r="A13" s="364" t="s">
        <v>581</v>
      </c>
      <c r="B13" s="467" t="s">
        <v>641</v>
      </c>
      <c r="C13" s="468"/>
      <c r="D13" s="468"/>
      <c r="E13" s="468"/>
      <c r="F13" s="468"/>
      <c r="G13" s="468"/>
      <c r="H13" s="468"/>
      <c r="I13" s="469"/>
      <c r="J13" s="364">
        <v>22</v>
      </c>
      <c r="K13" s="363"/>
      <c r="L13" s="364" t="s">
        <v>610</v>
      </c>
      <c r="M13" s="592" t="s">
        <v>199</v>
      </c>
      <c r="N13" s="595"/>
      <c r="O13" s="595"/>
      <c r="P13" s="595"/>
      <c r="Q13" s="595"/>
      <c r="R13" s="595"/>
      <c r="S13" s="595"/>
      <c r="T13" s="596"/>
      <c r="U13" s="364">
        <v>51</v>
      </c>
    </row>
    <row r="14" spans="1:21" s="33" customFormat="1" ht="17.100000000000001" customHeight="1">
      <c r="A14" s="364" t="s">
        <v>582</v>
      </c>
      <c r="B14" s="467" t="s">
        <v>642</v>
      </c>
      <c r="C14" s="468"/>
      <c r="D14" s="468"/>
      <c r="E14" s="468"/>
      <c r="F14" s="468"/>
      <c r="G14" s="468"/>
      <c r="H14" s="468"/>
      <c r="I14" s="469"/>
      <c r="J14" s="364">
        <v>23</v>
      </c>
      <c r="K14" s="363"/>
      <c r="L14" s="364" t="s">
        <v>611</v>
      </c>
      <c r="M14" s="592" t="s">
        <v>675</v>
      </c>
      <c r="N14" s="595"/>
      <c r="O14" s="595"/>
      <c r="P14" s="595"/>
      <c r="Q14" s="595"/>
      <c r="R14" s="595"/>
      <c r="S14" s="595"/>
      <c r="T14" s="596"/>
      <c r="U14" s="364">
        <v>52</v>
      </c>
    </row>
    <row r="15" spans="1:21" s="33" customFormat="1" ht="17.100000000000001" customHeight="1">
      <c r="A15" s="364" t="s">
        <v>583</v>
      </c>
      <c r="B15" s="467" t="s">
        <v>196</v>
      </c>
      <c r="C15" s="468"/>
      <c r="D15" s="468"/>
      <c r="E15" s="468"/>
      <c r="F15" s="468"/>
      <c r="G15" s="468"/>
      <c r="H15" s="468"/>
      <c r="I15" s="469"/>
      <c r="J15" s="364">
        <v>24</v>
      </c>
      <c r="K15" s="363"/>
      <c r="L15" s="364" t="s">
        <v>612</v>
      </c>
      <c r="M15" s="592" t="s">
        <v>200</v>
      </c>
      <c r="N15" s="595"/>
      <c r="O15" s="595"/>
      <c r="P15" s="595"/>
      <c r="Q15" s="595"/>
      <c r="R15" s="595"/>
      <c r="S15" s="595"/>
      <c r="T15" s="596"/>
      <c r="U15" s="364">
        <v>53</v>
      </c>
    </row>
    <row r="16" spans="1:21" s="33" customFormat="1" ht="17.100000000000001" customHeight="1">
      <c r="A16" s="364" t="s">
        <v>584</v>
      </c>
      <c r="B16" s="467" t="s">
        <v>648</v>
      </c>
      <c r="C16" s="468"/>
      <c r="D16" s="468"/>
      <c r="E16" s="468"/>
      <c r="F16" s="468"/>
      <c r="G16" s="468"/>
      <c r="H16" s="468"/>
      <c r="I16" s="469"/>
      <c r="J16" s="364">
        <v>25</v>
      </c>
      <c r="K16" s="363"/>
      <c r="L16" s="364" t="s">
        <v>613</v>
      </c>
      <c r="M16" s="592" t="s">
        <v>845</v>
      </c>
      <c r="N16" s="593"/>
      <c r="O16" s="593"/>
      <c r="P16" s="593"/>
      <c r="Q16" s="593"/>
      <c r="R16" s="593"/>
      <c r="S16" s="593"/>
      <c r="T16" s="594"/>
      <c r="U16" s="364">
        <v>54</v>
      </c>
    </row>
    <row r="17" spans="1:21" s="33" customFormat="1" ht="17.100000000000001" customHeight="1">
      <c r="A17" s="364" t="s">
        <v>585</v>
      </c>
      <c r="B17" s="467" t="s">
        <v>683</v>
      </c>
      <c r="C17" s="468"/>
      <c r="D17" s="468"/>
      <c r="E17" s="468"/>
      <c r="F17" s="468"/>
      <c r="G17" s="468"/>
      <c r="H17" s="468"/>
      <c r="I17" s="469"/>
      <c r="J17" s="364">
        <v>26</v>
      </c>
      <c r="K17" s="363"/>
      <c r="L17" s="364" t="s">
        <v>614</v>
      </c>
      <c r="M17" s="592" t="s">
        <v>843</v>
      </c>
      <c r="N17" s="595"/>
      <c r="O17" s="595"/>
      <c r="P17" s="595"/>
      <c r="Q17" s="595"/>
      <c r="R17" s="595"/>
      <c r="S17" s="595"/>
      <c r="T17" s="596"/>
      <c r="U17" s="364">
        <v>56</v>
      </c>
    </row>
    <row r="18" spans="1:21" s="33" customFormat="1" ht="17.100000000000001" customHeight="1">
      <c r="A18" s="364" t="s">
        <v>586</v>
      </c>
      <c r="B18" s="467" t="s">
        <v>671</v>
      </c>
      <c r="C18" s="468"/>
      <c r="D18" s="468"/>
      <c r="E18" s="468"/>
      <c r="F18" s="468"/>
      <c r="G18" s="468"/>
      <c r="H18" s="468"/>
      <c r="I18" s="469"/>
      <c r="J18" s="364">
        <v>27</v>
      </c>
      <c r="K18" s="363"/>
      <c r="L18" s="364" t="s">
        <v>615</v>
      </c>
      <c r="M18" s="592" t="s">
        <v>842</v>
      </c>
      <c r="N18" s="595"/>
      <c r="O18" s="595"/>
      <c r="P18" s="595"/>
      <c r="Q18" s="595"/>
      <c r="R18" s="595"/>
      <c r="S18" s="595"/>
      <c r="T18" s="596"/>
      <c r="U18" s="364">
        <v>59</v>
      </c>
    </row>
    <row r="19" spans="1:21" s="33" customFormat="1" ht="17.100000000000001" customHeight="1">
      <c r="A19" s="364" t="s">
        <v>587</v>
      </c>
      <c r="B19" s="467" t="s">
        <v>670</v>
      </c>
      <c r="C19" s="468"/>
      <c r="D19" s="468"/>
      <c r="E19" s="468"/>
      <c r="F19" s="468"/>
      <c r="G19" s="468"/>
      <c r="H19" s="468"/>
      <c r="I19" s="469"/>
      <c r="J19" s="364">
        <v>28</v>
      </c>
      <c r="K19" s="363"/>
      <c r="L19" s="365" t="s">
        <v>896</v>
      </c>
      <c r="M19" s="589" t="s">
        <v>201</v>
      </c>
      <c r="N19" s="590"/>
      <c r="O19" s="590"/>
      <c r="P19" s="590"/>
      <c r="Q19" s="590"/>
      <c r="R19" s="590"/>
      <c r="S19" s="590"/>
      <c r="T19" s="591"/>
      <c r="U19" s="365">
        <v>61</v>
      </c>
    </row>
    <row r="20" spans="1:21" s="33" customFormat="1" ht="17.100000000000001" customHeight="1">
      <c r="A20" s="364" t="s">
        <v>588</v>
      </c>
      <c r="B20" s="467" t="s">
        <v>684</v>
      </c>
      <c r="C20" s="468"/>
      <c r="D20" s="468"/>
      <c r="E20" s="468"/>
      <c r="F20" s="468"/>
      <c r="G20" s="468"/>
      <c r="H20" s="468"/>
      <c r="I20" s="469"/>
      <c r="J20" s="364">
        <v>29</v>
      </c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</row>
    <row r="21" spans="1:21" s="33" customFormat="1" ht="17.100000000000001" customHeight="1">
      <c r="A21" s="364" t="s">
        <v>589</v>
      </c>
      <c r="B21" s="627" t="s">
        <v>916</v>
      </c>
      <c r="C21" s="468"/>
      <c r="D21" s="468"/>
      <c r="E21" s="468"/>
      <c r="F21" s="468"/>
      <c r="G21" s="468"/>
      <c r="H21" s="468"/>
      <c r="I21" s="469"/>
      <c r="J21" s="364">
        <v>30</v>
      </c>
      <c r="K21" s="363"/>
      <c r="L21" s="363"/>
      <c r="M21" s="449"/>
      <c r="N21" s="449"/>
      <c r="O21" s="449"/>
      <c r="P21" s="363"/>
      <c r="Q21" s="363"/>
      <c r="R21" s="363"/>
      <c r="S21" s="363"/>
      <c r="T21" s="363"/>
      <c r="U21" s="363"/>
    </row>
    <row r="22" spans="1:21" s="33" customFormat="1" ht="17.100000000000001" customHeight="1">
      <c r="A22" s="364" t="s">
        <v>590</v>
      </c>
      <c r="B22" s="592" t="s">
        <v>685</v>
      </c>
      <c r="C22" s="595"/>
      <c r="D22" s="595"/>
      <c r="E22" s="595"/>
      <c r="F22" s="595"/>
      <c r="G22" s="595"/>
      <c r="H22" s="595"/>
      <c r="I22" s="596"/>
      <c r="J22" s="364">
        <v>31</v>
      </c>
      <c r="K22" s="363"/>
      <c r="L22" s="363"/>
      <c r="M22" s="450"/>
      <c r="N22" s="449"/>
      <c r="O22" s="449"/>
      <c r="P22" s="363"/>
      <c r="Q22" s="363"/>
      <c r="R22" s="363"/>
      <c r="S22" s="363"/>
      <c r="T22" s="363"/>
      <c r="U22" s="363"/>
    </row>
    <row r="23" spans="1:21" s="33" customFormat="1" ht="17.100000000000001" customHeight="1">
      <c r="A23" s="364" t="s">
        <v>591</v>
      </c>
      <c r="B23" s="592" t="s">
        <v>650</v>
      </c>
      <c r="C23" s="595"/>
      <c r="D23" s="595"/>
      <c r="E23" s="595"/>
      <c r="F23" s="595"/>
      <c r="G23" s="595"/>
      <c r="H23" s="595"/>
      <c r="I23" s="596"/>
      <c r="J23" s="364">
        <v>32</v>
      </c>
      <c r="K23" s="363"/>
      <c r="L23" s="363"/>
      <c r="M23" s="449"/>
      <c r="N23" s="449"/>
      <c r="O23" s="449"/>
      <c r="P23" s="363"/>
      <c r="Q23" s="363"/>
      <c r="R23" s="363"/>
      <c r="S23" s="363"/>
      <c r="T23" s="363"/>
      <c r="U23" s="363"/>
    </row>
    <row r="24" spans="1:21" s="33" customFormat="1" ht="17.100000000000001" customHeight="1">
      <c r="A24" s="364" t="s">
        <v>592</v>
      </c>
      <c r="B24" s="592" t="s">
        <v>651</v>
      </c>
      <c r="C24" s="595"/>
      <c r="D24" s="595"/>
      <c r="E24" s="595"/>
      <c r="F24" s="595"/>
      <c r="G24" s="595"/>
      <c r="H24" s="595"/>
      <c r="I24" s="596"/>
      <c r="J24" s="364">
        <v>33</v>
      </c>
      <c r="K24" s="363"/>
      <c r="L24" s="363"/>
      <c r="M24" s="449"/>
      <c r="N24" s="449"/>
      <c r="O24" s="449"/>
      <c r="P24" s="363"/>
      <c r="Q24" s="363"/>
      <c r="R24" s="363"/>
      <c r="S24" s="363"/>
      <c r="T24" s="363"/>
      <c r="U24" s="363"/>
    </row>
    <row r="25" spans="1:21" s="33" customFormat="1" ht="17.100000000000001" customHeight="1">
      <c r="A25" s="364" t="s">
        <v>593</v>
      </c>
      <c r="B25" s="592" t="s">
        <v>652</v>
      </c>
      <c r="C25" s="595"/>
      <c r="D25" s="595"/>
      <c r="E25" s="595"/>
      <c r="F25" s="595"/>
      <c r="G25" s="595"/>
      <c r="H25" s="595"/>
      <c r="I25" s="596"/>
      <c r="J25" s="364">
        <v>34</v>
      </c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</row>
    <row r="26" spans="1:21" s="33" customFormat="1" ht="17.100000000000001" customHeight="1">
      <c r="A26" s="364" t="s">
        <v>594</v>
      </c>
      <c r="B26" s="592" t="s">
        <v>686</v>
      </c>
      <c r="C26" s="595"/>
      <c r="D26" s="595"/>
      <c r="E26" s="595"/>
      <c r="F26" s="595"/>
      <c r="G26" s="595"/>
      <c r="H26" s="595"/>
      <c r="I26" s="596"/>
      <c r="J26" s="364">
        <v>35</v>
      </c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</row>
    <row r="27" spans="1:21" s="33" customFormat="1" ht="17.100000000000001" customHeight="1">
      <c r="A27" s="364" t="s">
        <v>595</v>
      </c>
      <c r="B27" s="592" t="s">
        <v>654</v>
      </c>
      <c r="C27" s="595"/>
      <c r="D27" s="595"/>
      <c r="E27" s="595"/>
      <c r="F27" s="595"/>
      <c r="G27" s="595"/>
      <c r="H27" s="595"/>
      <c r="I27" s="596"/>
      <c r="J27" s="364">
        <v>36</v>
      </c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</row>
    <row r="28" spans="1:21" s="33" customFormat="1" ht="17.100000000000001" customHeight="1">
      <c r="A28" s="364" t="s">
        <v>596</v>
      </c>
      <c r="B28" s="592" t="s">
        <v>713</v>
      </c>
      <c r="C28" s="595"/>
      <c r="D28" s="595"/>
      <c r="E28" s="595"/>
      <c r="F28" s="595"/>
      <c r="G28" s="595"/>
      <c r="H28" s="595"/>
      <c r="I28" s="596"/>
      <c r="J28" s="364">
        <v>37</v>
      </c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</row>
    <row r="29" spans="1:21" s="33" customFormat="1" ht="17.100000000000001" customHeight="1">
      <c r="A29" s="364" t="s">
        <v>597</v>
      </c>
      <c r="B29" s="592" t="s">
        <v>714</v>
      </c>
      <c r="C29" s="595"/>
      <c r="D29" s="595"/>
      <c r="E29" s="595"/>
      <c r="F29" s="595"/>
      <c r="G29" s="595"/>
      <c r="H29" s="595"/>
      <c r="I29" s="596"/>
      <c r="J29" s="364">
        <v>38</v>
      </c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</row>
    <row r="30" spans="1:21" ht="17.100000000000001" customHeight="1">
      <c r="A30" s="364" t="s">
        <v>598</v>
      </c>
      <c r="B30" s="592" t="s">
        <v>715</v>
      </c>
      <c r="C30" s="595"/>
      <c r="D30" s="595"/>
      <c r="E30" s="595"/>
      <c r="F30" s="595"/>
      <c r="G30" s="595"/>
      <c r="H30" s="595"/>
      <c r="I30" s="596"/>
      <c r="J30" s="364">
        <v>39</v>
      </c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</row>
    <row r="31" spans="1:21" ht="17.100000000000001" customHeight="1">
      <c r="A31" s="364" t="s">
        <v>599</v>
      </c>
      <c r="B31" s="592" t="s">
        <v>687</v>
      </c>
      <c r="C31" s="595"/>
      <c r="D31" s="595"/>
      <c r="E31" s="595"/>
      <c r="F31" s="595"/>
      <c r="G31" s="595"/>
      <c r="H31" s="595"/>
      <c r="I31" s="596"/>
      <c r="J31" s="364">
        <v>40</v>
      </c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</row>
    <row r="32" spans="1:21" ht="17.100000000000001" customHeight="1">
      <c r="A32" s="365" t="s">
        <v>600</v>
      </c>
      <c r="B32" s="589" t="s">
        <v>716</v>
      </c>
      <c r="C32" s="590"/>
      <c r="D32" s="590"/>
      <c r="E32" s="590"/>
      <c r="F32" s="590"/>
      <c r="G32" s="590"/>
      <c r="H32" s="590"/>
      <c r="I32" s="591"/>
      <c r="J32" s="365">
        <v>41</v>
      </c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</row>
    <row r="33" ht="17.100000000000001" customHeight="1"/>
  </sheetData>
  <mergeCells count="10">
    <mergeCell ref="B8:I8"/>
    <mergeCell ref="B7:I7"/>
    <mergeCell ref="B6:I6"/>
    <mergeCell ref="B4:I4"/>
    <mergeCell ref="B9:I9"/>
    <mergeCell ref="M3:T3"/>
    <mergeCell ref="A1:I1"/>
    <mergeCell ref="B5:I5"/>
    <mergeCell ref="B3:I3"/>
    <mergeCell ref="M5:T5"/>
  </mergeCells>
  <phoneticPr fontId="0" type="noConversion"/>
  <pageMargins left="0.94" right="0.21" top="0.62992125984251968" bottom="0.47244094488188981" header="0.51181102362204722" footer="0.43307086614173229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45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678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119</v>
      </c>
      <c r="C7" s="7" t="s">
        <v>161</v>
      </c>
      <c r="D7" s="7" t="s">
        <v>81</v>
      </c>
      <c r="E7" s="459" t="s">
        <v>728</v>
      </c>
      <c r="F7" s="5"/>
      <c r="G7" s="167"/>
      <c r="H7" s="5"/>
      <c r="I7" s="73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82100</v>
      </c>
      <c r="J8" s="244">
        <f t="shared" ref="J8" si="1">SUM(J9:J12)</f>
        <v>82100</v>
      </c>
      <c r="K8" s="532">
        <f>SUM(K9:K12)</f>
        <v>86510</v>
      </c>
      <c r="L8" s="244">
        <f>SUM(L9:L12)</f>
        <v>0</v>
      </c>
      <c r="M8" s="261">
        <f>SUM(M9:M12)</f>
        <v>86510</v>
      </c>
      <c r="N8" s="217">
        <f t="shared" ref="N8:N31" si="2">IF(J8=0,"",M8/J8*100)</f>
        <v>105.3714981729598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72340</v>
      </c>
      <c r="J9" s="245">
        <v>72340</v>
      </c>
      <c r="K9" s="391">
        <f>75410+300+450</f>
        <v>76160</v>
      </c>
      <c r="L9" s="245">
        <v>0</v>
      </c>
      <c r="M9" s="262">
        <f>SUM(K9:L9)</f>
        <v>76160</v>
      </c>
      <c r="N9" s="218">
        <f t="shared" si="2"/>
        <v>105.28061929776058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9760</v>
      </c>
      <c r="J10" s="245">
        <v>9760</v>
      </c>
      <c r="K10" s="391">
        <f>9150+200+1000</f>
        <v>10350</v>
      </c>
      <c r="L10" s="245">
        <v>0</v>
      </c>
      <c r="M10" s="262">
        <f t="shared" ref="M10:M11" si="3">SUM(K10:L10)</f>
        <v>10350</v>
      </c>
      <c r="N10" s="218">
        <f t="shared" si="2"/>
        <v>106.04508196721312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7640</v>
      </c>
      <c r="J13" s="244">
        <f t="shared" si="4"/>
        <v>7640</v>
      </c>
      <c r="K13" s="532">
        <f>K14</f>
        <v>8130</v>
      </c>
      <c r="L13" s="244">
        <f>L14</f>
        <v>0</v>
      </c>
      <c r="M13" s="261">
        <f>M14</f>
        <v>8130</v>
      </c>
      <c r="N13" s="217">
        <f t="shared" si="2"/>
        <v>106.41361256544504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7640</v>
      </c>
      <c r="J14" s="245">
        <v>7640</v>
      </c>
      <c r="K14" s="391">
        <f>7930+150+50</f>
        <v>8130</v>
      </c>
      <c r="L14" s="245">
        <v>0</v>
      </c>
      <c r="M14" s="262">
        <f>SUM(K14:L14)</f>
        <v>8130</v>
      </c>
      <c r="N14" s="218">
        <f t="shared" si="2"/>
        <v>106.41361256544504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5"/>
      <c r="J15" s="245"/>
      <c r="K15" s="390"/>
      <c r="L15" s="241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4">
        <f t="shared" ref="I16" si="5">SUM(I17:I26)</f>
        <v>3280</v>
      </c>
      <c r="J16" s="244">
        <f t="shared" ref="J16" si="6">SUM(J17:J26)</f>
        <v>3280</v>
      </c>
      <c r="K16" s="533">
        <f>SUM(K17:K26)</f>
        <v>4150</v>
      </c>
      <c r="L16" s="242">
        <f>SUM(L17:L26)</f>
        <v>0</v>
      </c>
      <c r="M16" s="264">
        <f>SUM(M17:M26)</f>
        <v>4150</v>
      </c>
      <c r="N16" s="217">
        <f t="shared" si="2"/>
        <v>126.52439024390243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600</v>
      </c>
      <c r="J17" s="245">
        <v>600</v>
      </c>
      <c r="K17" s="390">
        <v>600</v>
      </c>
      <c r="L17" s="241">
        <v>0</v>
      </c>
      <c r="M17" s="262">
        <f t="shared" ref="M17:M26" si="7">SUM(K17:L17)</f>
        <v>600</v>
      </c>
      <c r="N17" s="218">
        <f t="shared" si="2"/>
        <v>100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0">
        <v>0</v>
      </c>
      <c r="L18" s="241">
        <v>0</v>
      </c>
      <c r="M18" s="262">
        <f t="shared" si="7"/>
        <v>0</v>
      </c>
      <c r="N18" s="218" t="str">
        <f t="shared" si="2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1500</v>
      </c>
      <c r="J19" s="245">
        <v>1500</v>
      </c>
      <c r="K19" s="390">
        <v>1400</v>
      </c>
      <c r="L19" s="241">
        <v>0</v>
      </c>
      <c r="M19" s="262">
        <f t="shared" si="7"/>
        <v>1400</v>
      </c>
      <c r="N19" s="218">
        <f t="shared" si="2"/>
        <v>93.333333333333329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400</v>
      </c>
      <c r="J20" s="245">
        <v>400</v>
      </c>
      <c r="K20" s="390">
        <v>600</v>
      </c>
      <c r="L20" s="241">
        <v>0</v>
      </c>
      <c r="M20" s="262">
        <f t="shared" si="7"/>
        <v>600</v>
      </c>
      <c r="N20" s="218">
        <f t="shared" si="2"/>
        <v>150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0">
        <v>0</v>
      </c>
      <c r="L21" s="241">
        <v>0</v>
      </c>
      <c r="M21" s="262">
        <f t="shared" si="7"/>
        <v>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280</v>
      </c>
      <c r="J23" s="245">
        <v>280</v>
      </c>
      <c r="K23" s="390">
        <v>350</v>
      </c>
      <c r="L23" s="241">
        <v>0</v>
      </c>
      <c r="M23" s="262">
        <f t="shared" si="7"/>
        <v>350</v>
      </c>
      <c r="N23" s="218">
        <f t="shared" si="2"/>
        <v>125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0">
        <v>0</v>
      </c>
      <c r="L24" s="241">
        <v>0</v>
      </c>
      <c r="M24" s="262">
        <f t="shared" si="7"/>
        <v>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500</v>
      </c>
      <c r="J25" s="245">
        <v>500</v>
      </c>
      <c r="K25" s="391">
        <v>1200</v>
      </c>
      <c r="L25" s="245">
        <v>0</v>
      </c>
      <c r="M25" s="262">
        <f t="shared" si="7"/>
        <v>1200</v>
      </c>
      <c r="N25" s="218">
        <f t="shared" si="2"/>
        <v>240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458"/>
      <c r="F27" s="194"/>
      <c r="G27" s="214"/>
      <c r="H27" s="25"/>
      <c r="I27" s="241"/>
      <c r="J27" s="241"/>
      <c r="K27" s="390"/>
      <c r="L27" s="241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0">
        <f t="shared" ref="I28" si="8">I29+I30</f>
        <v>0</v>
      </c>
      <c r="J28" s="240">
        <f t="shared" ref="J28" si="9">J29+J30</f>
        <v>0</v>
      </c>
      <c r="K28" s="534">
        <f>K29+K30</f>
        <v>0</v>
      </c>
      <c r="L28" s="240">
        <f>L29+L30</f>
        <v>0</v>
      </c>
      <c r="M28" s="264">
        <f>M29+M30</f>
        <v>0</v>
      </c>
      <c r="N28" s="218" t="str">
        <f t="shared" si="2"/>
        <v/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1">
        <v>0</v>
      </c>
      <c r="J29" s="241">
        <v>0</v>
      </c>
      <c r="K29" s="390">
        <v>0</v>
      </c>
      <c r="L29" s="241">
        <v>0</v>
      </c>
      <c r="M29" s="262">
        <f t="shared" ref="M29:M30" si="10">SUM(K29:L29)</f>
        <v>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0</v>
      </c>
      <c r="J30" s="245">
        <v>0</v>
      </c>
      <c r="K30" s="391">
        <v>0</v>
      </c>
      <c r="L30" s="245">
        <v>0</v>
      </c>
      <c r="M30" s="262">
        <f t="shared" si="10"/>
        <v>0</v>
      </c>
      <c r="N30" s="218" t="str">
        <f t="shared" si="2"/>
        <v/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0">
        <v>3</v>
      </c>
      <c r="J32" s="240">
        <v>3</v>
      </c>
      <c r="K32" s="534">
        <v>3</v>
      </c>
      <c r="L32" s="240"/>
      <c r="M32" s="264">
        <v>3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93020</v>
      </c>
      <c r="J33" s="172">
        <f>J8+J13+J16+J28</f>
        <v>93020</v>
      </c>
      <c r="K33" s="401">
        <f>K8+K13+K16+K28</f>
        <v>98790</v>
      </c>
      <c r="L33" s="172">
        <f>L8+L13+L16+L28</f>
        <v>0</v>
      </c>
      <c r="M33" s="264">
        <f>M8+M13+M16+M28</f>
        <v>98790</v>
      </c>
      <c r="N33" s="217">
        <f>IF(J33=0,"",M33/J33*100)</f>
        <v>106.20296710384865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>
        <f>I33</f>
        <v>93020</v>
      </c>
      <c r="J34" s="15">
        <f>J33</f>
        <v>93020</v>
      </c>
      <c r="K34" s="401">
        <f>K33</f>
        <v>98790</v>
      </c>
      <c r="L34" s="172">
        <f>L33</f>
        <v>0</v>
      </c>
      <c r="M34" s="264">
        <f>M33</f>
        <v>98790</v>
      </c>
      <c r="N34" s="217">
        <f>IF(J34=0,"",M34/J34*100)</f>
        <v>106.20296710384865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/>
      <c r="J35" s="15"/>
      <c r="K35" s="401"/>
      <c r="L35" s="172"/>
      <c r="M35" s="264"/>
      <c r="N35" s="217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F40" s="186"/>
      <c r="G40" s="205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168" customWidth="1"/>
    <col min="3" max="3" width="5.140625" style="168" customWidth="1"/>
    <col min="4" max="5" width="5" style="168" customWidth="1"/>
    <col min="6" max="7" width="8.7109375" style="173" customWidth="1"/>
    <col min="8" max="8" width="50.7109375" style="168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168"/>
  </cols>
  <sheetData>
    <row r="1" spans="1:16" ht="13.5" thickBot="1"/>
    <row r="2" spans="1:16" s="83" customFormat="1" ht="20.100000000000001" customHeight="1" thickTop="1" thickBot="1">
      <c r="A2" s="252"/>
      <c r="B2" s="876" t="s">
        <v>892</v>
      </c>
      <c r="C2" s="877"/>
      <c r="D2" s="877"/>
      <c r="E2" s="877"/>
      <c r="F2" s="877"/>
      <c r="G2" s="877"/>
      <c r="H2" s="877"/>
      <c r="I2" s="877"/>
      <c r="J2" s="600"/>
      <c r="K2" s="254"/>
      <c r="L2" s="254"/>
      <c r="M2" s="254"/>
      <c r="N2" s="257"/>
      <c r="P2" s="252"/>
    </row>
    <row r="3" spans="1:16" s="165" customFormat="1" ht="8.1" customHeight="1" thickTop="1" thickBot="1">
      <c r="F3" s="166"/>
      <c r="G3" s="166"/>
      <c r="H3" s="879"/>
      <c r="I3" s="879"/>
      <c r="J3" s="601"/>
      <c r="K3" s="78"/>
      <c r="L3" s="78"/>
      <c r="M3" s="78"/>
      <c r="N3" s="215"/>
    </row>
    <row r="4" spans="1:16" s="165" customFormat="1" ht="39" customHeight="1"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166" customFormat="1" ht="12.95" customHeight="1"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166" customFormat="1" ht="12.95" customHeight="1">
      <c r="B7" s="6" t="s">
        <v>119</v>
      </c>
      <c r="C7" s="7" t="s">
        <v>433</v>
      </c>
      <c r="D7" s="7" t="s">
        <v>81</v>
      </c>
      <c r="E7" s="459" t="s">
        <v>893</v>
      </c>
      <c r="F7" s="167"/>
      <c r="G7" s="167"/>
      <c r="H7" s="167"/>
      <c r="I7" s="409"/>
      <c r="J7" s="73"/>
      <c r="K7" s="430"/>
      <c r="L7" s="73"/>
      <c r="M7" s="269"/>
      <c r="N7" s="216"/>
    </row>
    <row r="8" spans="1:16" s="165" customFormat="1" ht="12.95" customHeight="1">
      <c r="B8" s="171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SUM(I9:I11)</f>
        <v>0</v>
      </c>
      <c r="J8" s="244">
        <f t="shared" si="0"/>
        <v>0</v>
      </c>
      <c r="K8" s="532">
        <f>SUM(K9:K11)</f>
        <v>21420</v>
      </c>
      <c r="L8" s="244">
        <f>SUM(L9:L11)</f>
        <v>0</v>
      </c>
      <c r="M8" s="261">
        <f>SUM(M9:M11)</f>
        <v>21420</v>
      </c>
      <c r="N8" s="217" t="str">
        <f t="shared" ref="N8:N31" si="1">IF(J8=0,"",M8/J8*100)</f>
        <v/>
      </c>
    </row>
    <row r="9" spans="1:16" ht="12.95" customHeight="1">
      <c r="B9" s="169"/>
      <c r="C9" s="170"/>
      <c r="D9" s="170"/>
      <c r="E9" s="170"/>
      <c r="F9" s="184">
        <v>611100</v>
      </c>
      <c r="G9" s="203"/>
      <c r="H9" s="472" t="s">
        <v>167</v>
      </c>
      <c r="I9" s="245">
        <v>0</v>
      </c>
      <c r="J9" s="245">
        <v>0</v>
      </c>
      <c r="K9" s="391">
        <f>8*2300</f>
        <v>18400</v>
      </c>
      <c r="L9" s="245">
        <v>0</v>
      </c>
      <c r="M9" s="262">
        <f>SUM(K9:L9)</f>
        <v>18400</v>
      </c>
      <c r="N9" s="218" t="str">
        <f t="shared" si="1"/>
        <v/>
      </c>
    </row>
    <row r="10" spans="1:16" ht="12.95" customHeight="1">
      <c r="B10" s="169"/>
      <c r="C10" s="170"/>
      <c r="D10" s="170"/>
      <c r="E10" s="170"/>
      <c r="F10" s="184">
        <v>611200</v>
      </c>
      <c r="G10" s="203"/>
      <c r="H10" s="24" t="s">
        <v>168</v>
      </c>
      <c r="I10" s="245">
        <v>0</v>
      </c>
      <c r="J10" s="245">
        <v>0</v>
      </c>
      <c r="K10" s="391">
        <f>500+2520</f>
        <v>3020</v>
      </c>
      <c r="L10" s="245">
        <v>0</v>
      </c>
      <c r="M10" s="262">
        <f t="shared" ref="M10:M11" si="2">SUM(K10:L10)</f>
        <v>3020</v>
      </c>
      <c r="N10" s="218" t="str">
        <f t="shared" si="1"/>
        <v/>
      </c>
    </row>
    <row r="11" spans="1:16" ht="12.95" customHeight="1">
      <c r="B11" s="169"/>
      <c r="C11" s="170"/>
      <c r="D11" s="170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69"/>
      <c r="C12" s="170"/>
      <c r="D12" s="170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1"/>
        <v/>
      </c>
    </row>
    <row r="13" spans="1:16" s="165" customFormat="1" ht="12.95" customHeight="1">
      <c r="B13" s="171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0</v>
      </c>
      <c r="J13" s="244">
        <f t="shared" si="3"/>
        <v>0</v>
      </c>
      <c r="K13" s="532">
        <f>K14</f>
        <v>2000</v>
      </c>
      <c r="L13" s="244">
        <f>L14</f>
        <v>0</v>
      </c>
      <c r="M13" s="261">
        <f>M14</f>
        <v>2000</v>
      </c>
      <c r="N13" s="217" t="str">
        <f t="shared" si="1"/>
        <v/>
      </c>
    </row>
    <row r="14" spans="1:16" ht="12.95" customHeight="1">
      <c r="B14" s="169"/>
      <c r="C14" s="170"/>
      <c r="D14" s="170"/>
      <c r="E14" s="170"/>
      <c r="F14" s="184">
        <v>612100</v>
      </c>
      <c r="G14" s="203"/>
      <c r="H14" s="474" t="s">
        <v>82</v>
      </c>
      <c r="I14" s="245">
        <v>0</v>
      </c>
      <c r="J14" s="245">
        <v>0</v>
      </c>
      <c r="K14" s="391">
        <f>8*250</f>
        <v>2000</v>
      </c>
      <c r="L14" s="245">
        <v>0</v>
      </c>
      <c r="M14" s="262">
        <f>SUM(K14:L14)</f>
        <v>2000</v>
      </c>
      <c r="N14" s="218" t="str">
        <f t="shared" si="1"/>
        <v/>
      </c>
    </row>
    <row r="15" spans="1:16" ht="12.95" customHeight="1">
      <c r="B15" s="169"/>
      <c r="C15" s="170"/>
      <c r="D15" s="170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1"/>
        <v/>
      </c>
    </row>
    <row r="16" spans="1:16" s="165" customFormat="1" ht="12.95" customHeight="1">
      <c r="B16" s="171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:J16" si="4">SUM(I17:I26)</f>
        <v>0</v>
      </c>
      <c r="J16" s="242">
        <f t="shared" si="4"/>
        <v>0</v>
      </c>
      <c r="K16" s="533">
        <f>SUM(K17:K26)</f>
        <v>2800</v>
      </c>
      <c r="L16" s="242">
        <f>SUM(L17:L26)</f>
        <v>0</v>
      </c>
      <c r="M16" s="264">
        <f>SUM(M17:M26)</f>
        <v>2800</v>
      </c>
      <c r="N16" s="217" t="str">
        <f t="shared" si="1"/>
        <v/>
      </c>
    </row>
    <row r="17" spans="2:15" ht="12.95" customHeight="1">
      <c r="B17" s="169"/>
      <c r="C17" s="170"/>
      <c r="D17" s="170"/>
      <c r="E17" s="170"/>
      <c r="F17" s="184">
        <v>613100</v>
      </c>
      <c r="G17" s="203"/>
      <c r="H17" s="24" t="s">
        <v>83</v>
      </c>
      <c r="I17" s="245">
        <v>0</v>
      </c>
      <c r="J17" s="245">
        <v>0</v>
      </c>
      <c r="K17" s="390">
        <v>800</v>
      </c>
      <c r="L17" s="241">
        <v>0</v>
      </c>
      <c r="M17" s="262">
        <f t="shared" ref="M17:M26" si="5">SUM(K17:L17)</f>
        <v>800</v>
      </c>
      <c r="N17" s="218" t="str">
        <f t="shared" si="1"/>
        <v/>
      </c>
    </row>
    <row r="18" spans="2:15" ht="12.95" customHeight="1">
      <c r="B18" s="169"/>
      <c r="C18" s="170"/>
      <c r="D18" s="170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0">
        <v>0</v>
      </c>
      <c r="L18" s="241">
        <v>0</v>
      </c>
      <c r="M18" s="262">
        <f t="shared" si="5"/>
        <v>0</v>
      </c>
      <c r="N18" s="218" t="str">
        <f t="shared" si="1"/>
        <v/>
      </c>
    </row>
    <row r="19" spans="2:15" ht="12.95" customHeight="1">
      <c r="B19" s="169"/>
      <c r="C19" s="170"/>
      <c r="D19" s="170"/>
      <c r="E19" s="170"/>
      <c r="F19" s="184">
        <v>613300</v>
      </c>
      <c r="G19" s="203"/>
      <c r="H19" s="472" t="s">
        <v>169</v>
      </c>
      <c r="I19" s="245">
        <v>0</v>
      </c>
      <c r="J19" s="245">
        <v>0</v>
      </c>
      <c r="K19" s="390">
        <v>0</v>
      </c>
      <c r="L19" s="241">
        <v>0</v>
      </c>
      <c r="M19" s="262">
        <f t="shared" si="5"/>
        <v>0</v>
      </c>
      <c r="N19" s="218" t="str">
        <f t="shared" si="1"/>
        <v/>
      </c>
    </row>
    <row r="20" spans="2:15" ht="12.95" customHeight="1">
      <c r="B20" s="169"/>
      <c r="C20" s="170"/>
      <c r="D20" s="170"/>
      <c r="E20" s="170"/>
      <c r="F20" s="184">
        <v>613400</v>
      </c>
      <c r="G20" s="203"/>
      <c r="H20" s="24" t="s">
        <v>143</v>
      </c>
      <c r="I20" s="245">
        <v>0</v>
      </c>
      <c r="J20" s="245">
        <v>0</v>
      </c>
      <c r="K20" s="390">
        <v>0</v>
      </c>
      <c r="L20" s="241">
        <v>0</v>
      </c>
      <c r="M20" s="262">
        <f t="shared" si="5"/>
        <v>0</v>
      </c>
      <c r="N20" s="218" t="str">
        <f t="shared" si="1"/>
        <v/>
      </c>
    </row>
    <row r="21" spans="2:15" ht="12.95" customHeight="1">
      <c r="B21" s="169"/>
      <c r="C21" s="170"/>
      <c r="D21" s="170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0">
        <v>0</v>
      </c>
      <c r="L21" s="241">
        <v>0</v>
      </c>
      <c r="M21" s="262">
        <f t="shared" si="5"/>
        <v>0</v>
      </c>
      <c r="N21" s="218" t="str">
        <f t="shared" si="1"/>
        <v/>
      </c>
    </row>
    <row r="22" spans="2:15" ht="12.95" customHeight="1">
      <c r="B22" s="169"/>
      <c r="C22" s="170"/>
      <c r="D22" s="170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5"/>
        <v>0</v>
      </c>
      <c r="N22" s="218" t="str">
        <f t="shared" si="1"/>
        <v/>
      </c>
    </row>
    <row r="23" spans="2:15" ht="12.95" customHeight="1">
      <c r="B23" s="169"/>
      <c r="C23" s="170"/>
      <c r="D23" s="170"/>
      <c r="E23" s="170"/>
      <c r="F23" s="184">
        <v>613700</v>
      </c>
      <c r="G23" s="203"/>
      <c r="H23" s="24" t="s">
        <v>86</v>
      </c>
      <c r="I23" s="245">
        <v>0</v>
      </c>
      <c r="J23" s="245">
        <v>0</v>
      </c>
      <c r="K23" s="391">
        <v>0</v>
      </c>
      <c r="L23" s="245">
        <v>0</v>
      </c>
      <c r="M23" s="262">
        <f t="shared" si="5"/>
        <v>0</v>
      </c>
      <c r="N23" s="218" t="str">
        <f t="shared" si="1"/>
        <v/>
      </c>
      <c r="O23" s="45"/>
    </row>
    <row r="24" spans="2:15" ht="12.95" customHeight="1">
      <c r="B24" s="169"/>
      <c r="C24" s="170"/>
      <c r="D24" s="170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0</v>
      </c>
      <c r="L24" s="245">
        <v>0</v>
      </c>
      <c r="M24" s="262">
        <f t="shared" si="5"/>
        <v>0</v>
      </c>
      <c r="N24" s="218" t="str">
        <f t="shared" si="1"/>
        <v/>
      </c>
    </row>
    <row r="25" spans="2:15" ht="12.95" customHeight="1">
      <c r="B25" s="169"/>
      <c r="C25" s="170"/>
      <c r="D25" s="170"/>
      <c r="E25" s="170"/>
      <c r="F25" s="184">
        <v>613900</v>
      </c>
      <c r="G25" s="203"/>
      <c r="H25" s="24" t="s">
        <v>145</v>
      </c>
      <c r="I25" s="245">
        <v>0</v>
      </c>
      <c r="J25" s="245">
        <v>0</v>
      </c>
      <c r="K25" s="391">
        <v>2000</v>
      </c>
      <c r="L25" s="245">
        <v>0</v>
      </c>
      <c r="M25" s="262">
        <f t="shared" si="5"/>
        <v>2000</v>
      </c>
      <c r="N25" s="218" t="str">
        <f t="shared" si="1"/>
        <v/>
      </c>
      <c r="O25" s="45"/>
    </row>
    <row r="26" spans="2:15" ht="12.95" customHeight="1">
      <c r="B26" s="169"/>
      <c r="C26" s="170"/>
      <c r="D26" s="170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5"/>
        <v>0</v>
      </c>
      <c r="N26" s="218" t="str">
        <f t="shared" si="1"/>
        <v/>
      </c>
    </row>
    <row r="27" spans="2:15" s="165" customFormat="1" ht="12.95" customHeight="1">
      <c r="B27" s="171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1"/>
        <v/>
      </c>
    </row>
    <row r="28" spans="2:15" s="165" customFormat="1" ht="12.95" customHeight="1">
      <c r="B28" s="171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:J28" si="6">SUM(I29:I30)</f>
        <v>0</v>
      </c>
      <c r="J28" s="244">
        <f t="shared" si="6"/>
        <v>0</v>
      </c>
      <c r="K28" s="532">
        <f>SUM(K29:K30)</f>
        <v>3000</v>
      </c>
      <c r="L28" s="244">
        <f>SUM(L29:L30)</f>
        <v>0</v>
      </c>
      <c r="M28" s="264">
        <f>SUM(M29:M30)</f>
        <v>3000</v>
      </c>
      <c r="N28" s="217" t="str">
        <f t="shared" si="1"/>
        <v/>
      </c>
    </row>
    <row r="29" spans="2:15" ht="12.95" customHeight="1">
      <c r="B29" s="169"/>
      <c r="C29" s="170"/>
      <c r="D29" s="170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ref="M29:M30" si="7">SUM(K29:L29)</f>
        <v>0</v>
      </c>
      <c r="N29" s="218" t="str">
        <f t="shared" si="1"/>
        <v/>
      </c>
    </row>
    <row r="30" spans="2:15" ht="12.95" customHeight="1">
      <c r="B30" s="169"/>
      <c r="C30" s="170"/>
      <c r="D30" s="170"/>
      <c r="E30" s="170"/>
      <c r="F30" s="184">
        <v>821300</v>
      </c>
      <c r="G30" s="203"/>
      <c r="H30" s="24" t="s">
        <v>91</v>
      </c>
      <c r="I30" s="245">
        <v>0</v>
      </c>
      <c r="J30" s="245">
        <v>0</v>
      </c>
      <c r="K30" s="391">
        <v>3000</v>
      </c>
      <c r="L30" s="245">
        <v>0</v>
      </c>
      <c r="M30" s="262">
        <f t="shared" si="7"/>
        <v>3000</v>
      </c>
      <c r="N30" s="218" t="str">
        <f t="shared" si="1"/>
        <v/>
      </c>
    </row>
    <row r="31" spans="2:15" ht="12.95" customHeight="1">
      <c r="B31" s="169"/>
      <c r="C31" s="170"/>
      <c r="D31" s="170"/>
      <c r="E31" s="170"/>
      <c r="F31" s="184"/>
      <c r="G31" s="203"/>
      <c r="H31" s="24"/>
      <c r="I31" s="245"/>
      <c r="J31" s="245"/>
      <c r="K31" s="391"/>
      <c r="L31" s="245"/>
      <c r="M31" s="263"/>
      <c r="N31" s="218" t="str">
        <f t="shared" si="1"/>
        <v/>
      </c>
    </row>
    <row r="32" spans="2:15" s="165" customFormat="1" ht="12.95" customHeight="1">
      <c r="B32" s="171"/>
      <c r="C32" s="8"/>
      <c r="D32" s="8"/>
      <c r="E32" s="8"/>
      <c r="F32" s="183"/>
      <c r="G32" s="202"/>
      <c r="H32" s="25" t="s">
        <v>92</v>
      </c>
      <c r="I32" s="240">
        <v>0</v>
      </c>
      <c r="J32" s="240">
        <v>0</v>
      </c>
      <c r="K32" s="534">
        <v>1</v>
      </c>
      <c r="L32" s="240"/>
      <c r="M32" s="264">
        <v>1</v>
      </c>
      <c r="N32" s="218"/>
    </row>
    <row r="33" spans="2:14" s="165" customFormat="1" ht="12.95" customHeight="1">
      <c r="B33" s="171"/>
      <c r="C33" s="8"/>
      <c r="D33" s="8"/>
      <c r="E33" s="8"/>
      <c r="F33" s="183"/>
      <c r="G33" s="202"/>
      <c r="H33" s="8" t="s">
        <v>106</v>
      </c>
      <c r="I33" s="398">
        <f>I8+I13+I16+I28</f>
        <v>0</v>
      </c>
      <c r="J33" s="172">
        <f>J8+J13+J16+J28</f>
        <v>0</v>
      </c>
      <c r="K33" s="401">
        <f>K8+K13+K16+K28</f>
        <v>29220</v>
      </c>
      <c r="L33" s="172">
        <f>L8+L13+L16+L28</f>
        <v>0</v>
      </c>
      <c r="M33" s="264">
        <f>M8+M13+M16+M28</f>
        <v>29220</v>
      </c>
      <c r="N33" s="217" t="str">
        <f>IF(J33=0,"",M33/J33*100)</f>
        <v/>
      </c>
    </row>
    <row r="34" spans="2:14" s="165" customFormat="1" ht="12.95" customHeight="1">
      <c r="B34" s="171"/>
      <c r="C34" s="8"/>
      <c r="D34" s="8"/>
      <c r="E34" s="8"/>
      <c r="F34" s="183"/>
      <c r="G34" s="202"/>
      <c r="H34" s="8" t="s">
        <v>93</v>
      </c>
      <c r="I34" s="172">
        <f>I33</f>
        <v>0</v>
      </c>
      <c r="J34" s="172">
        <f>J33</f>
        <v>0</v>
      </c>
      <c r="K34" s="401">
        <f t="shared" ref="K34:M34" si="8">K33</f>
        <v>29220</v>
      </c>
      <c r="L34" s="172">
        <f t="shared" si="8"/>
        <v>0</v>
      </c>
      <c r="M34" s="264">
        <f t="shared" si="8"/>
        <v>29220</v>
      </c>
      <c r="N34" s="217" t="str">
        <f>IF(J34=0,"",M34/J34*100)</f>
        <v/>
      </c>
    </row>
    <row r="35" spans="2:14" s="165" customFormat="1" ht="12.95" customHeight="1">
      <c r="B35" s="171"/>
      <c r="C35" s="8"/>
      <c r="D35" s="8"/>
      <c r="E35" s="8"/>
      <c r="F35" s="183"/>
      <c r="G35" s="202"/>
      <c r="H35" s="8" t="s">
        <v>94</v>
      </c>
      <c r="I35" s="172">
        <f>I34+'13'!I34+'12'!I34+'10'!I35+'9'!I35</f>
        <v>2026320</v>
      </c>
      <c r="J35" s="172">
        <f>J34+'13'!J34+'12'!J34+'10'!J35+'9'!J35</f>
        <v>2026320</v>
      </c>
      <c r="K35" s="401">
        <f>K34+'13'!K34+'12'!K34+'10'!K35+'9'!K35</f>
        <v>2188050</v>
      </c>
      <c r="L35" s="172">
        <f>L34+'13'!L34+'12'!L34+'10'!L35+'9'!L35</f>
        <v>0</v>
      </c>
      <c r="M35" s="264">
        <f>M34+'13'!M34+'12'!M34+'10'!M35+'9'!M35</f>
        <v>2188050</v>
      </c>
      <c r="N35" s="217">
        <f>IF(J35=0,"",M35/J35*100)</f>
        <v>107.98146393462041</v>
      </c>
    </row>
    <row r="36" spans="2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2:14" ht="12.95" customHeight="1">
      <c r="F37" s="186"/>
      <c r="G37" s="205"/>
      <c r="M37" s="270"/>
    </row>
    <row r="38" spans="2:14" ht="12.95" customHeight="1">
      <c r="B38" s="45"/>
      <c r="F38" s="186"/>
      <c r="G38" s="205"/>
      <c r="M38" s="270"/>
    </row>
    <row r="39" spans="2:14" ht="12.95" customHeight="1">
      <c r="F39" s="186"/>
      <c r="G39" s="205"/>
      <c r="M39" s="270"/>
    </row>
    <row r="40" spans="2:14" ht="12.95" customHeight="1">
      <c r="F40" s="186"/>
      <c r="G40" s="205"/>
      <c r="M40" s="270"/>
    </row>
    <row r="41" spans="2:14" ht="12.95" customHeight="1">
      <c r="F41" s="186"/>
      <c r="G41" s="205"/>
      <c r="M41" s="270"/>
    </row>
    <row r="42" spans="2:14" ht="12.95" customHeight="1">
      <c r="F42" s="186"/>
      <c r="G42" s="205"/>
      <c r="M42" s="270"/>
    </row>
    <row r="43" spans="2:14" ht="12.95" customHeight="1">
      <c r="F43" s="186"/>
      <c r="G43" s="205"/>
      <c r="M43" s="270"/>
    </row>
    <row r="44" spans="2:14" ht="12.95" customHeight="1">
      <c r="F44" s="186"/>
      <c r="G44" s="205"/>
      <c r="M44" s="270"/>
    </row>
    <row r="45" spans="2:14" ht="12.95" customHeight="1">
      <c r="F45" s="186"/>
      <c r="G45" s="205"/>
      <c r="M45" s="270"/>
    </row>
    <row r="46" spans="2:14" ht="12.95" customHeight="1">
      <c r="F46" s="186"/>
      <c r="G46" s="205"/>
      <c r="M46" s="270"/>
    </row>
    <row r="47" spans="2:14" ht="12.95" customHeight="1">
      <c r="F47" s="186"/>
      <c r="G47" s="205"/>
      <c r="M47" s="270"/>
    </row>
    <row r="48" spans="2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J4:J5"/>
    <mergeCell ref="K4:M4"/>
    <mergeCell ref="N4:N5"/>
    <mergeCell ref="B2:I2"/>
    <mergeCell ref="H3:I3"/>
    <mergeCell ref="B4:B5"/>
    <mergeCell ref="C4:C5"/>
    <mergeCell ref="D4:D5"/>
    <mergeCell ref="E4:E5"/>
    <mergeCell ref="F4:F5"/>
    <mergeCell ref="G4:G5"/>
    <mergeCell ref="H4:H5"/>
    <mergeCell ref="I4:I5"/>
  </mergeCells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8"/>
  <dimension ref="A1:P100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659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443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122</v>
      </c>
      <c r="C7" s="7" t="s">
        <v>80</v>
      </c>
      <c r="D7" s="7" t="s">
        <v>81</v>
      </c>
      <c r="E7" s="459" t="s">
        <v>729</v>
      </c>
      <c r="F7" s="5"/>
      <c r="G7" s="167"/>
      <c r="H7" s="5"/>
      <c r="I7" s="73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SUM(I9:I11)</f>
        <v>262520</v>
      </c>
      <c r="J8" s="244">
        <f t="shared" si="0"/>
        <v>262520</v>
      </c>
      <c r="K8" s="532">
        <f>SUM(K9:K11)</f>
        <v>286610</v>
      </c>
      <c r="L8" s="244">
        <f>SUM(L9:L11)</f>
        <v>0</v>
      </c>
      <c r="M8" s="261">
        <f>SUM(M9:M11)</f>
        <v>286610</v>
      </c>
      <c r="N8" s="217">
        <f t="shared" ref="N8:N39" si="1">IF(J8=0,"",M8/J8*100)</f>
        <v>109.17644369952765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220100</v>
      </c>
      <c r="J9" s="245">
        <v>220100</v>
      </c>
      <c r="K9" s="391">
        <f>237250+1000</f>
        <v>238250</v>
      </c>
      <c r="L9" s="245">
        <v>0</v>
      </c>
      <c r="M9" s="262">
        <f>SUM(K9:L9)</f>
        <v>238250</v>
      </c>
      <c r="N9" s="218">
        <f t="shared" si="1"/>
        <v>108.24625170377102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42420</v>
      </c>
      <c r="J10" s="245">
        <v>42420</v>
      </c>
      <c r="K10" s="391">
        <f>43760+600+4000</f>
        <v>48360</v>
      </c>
      <c r="L10" s="245">
        <v>0</v>
      </c>
      <c r="M10" s="262">
        <f t="shared" ref="M10:M11" si="2">SUM(K10:L10)</f>
        <v>48360</v>
      </c>
      <c r="N10" s="218">
        <f t="shared" si="1"/>
        <v>114.002828854314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23190</v>
      </c>
      <c r="J13" s="244">
        <f t="shared" si="3"/>
        <v>23190</v>
      </c>
      <c r="K13" s="532">
        <f>K14</f>
        <v>25330</v>
      </c>
      <c r="L13" s="244">
        <f>L14</f>
        <v>0</v>
      </c>
      <c r="M13" s="261">
        <f>M14</f>
        <v>25330</v>
      </c>
      <c r="N13" s="217">
        <f t="shared" si="1"/>
        <v>109.22811556705476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23190</v>
      </c>
      <c r="J14" s="245">
        <v>23190</v>
      </c>
      <c r="K14" s="391">
        <f>24930+400</f>
        <v>25330</v>
      </c>
      <c r="L14" s="245">
        <v>0</v>
      </c>
      <c r="M14" s="262">
        <f>SUM(K14:L14)</f>
        <v>25330</v>
      </c>
      <c r="N14" s="218">
        <f t="shared" si="1"/>
        <v>109.22811556705476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4">
        <f t="shared" ref="I16" si="4">SUM(I17:I27)</f>
        <v>65470</v>
      </c>
      <c r="J16" s="244">
        <f t="shared" ref="J16" si="5">SUM(J17:J27)</f>
        <v>65470</v>
      </c>
      <c r="K16" s="533">
        <f>SUM(K17:K27)</f>
        <v>53185</v>
      </c>
      <c r="L16" s="242">
        <f>SUM(L17:L27)</f>
        <v>4865</v>
      </c>
      <c r="M16" s="264">
        <f>SUM(M17:M27)</f>
        <v>58050</v>
      </c>
      <c r="N16" s="217">
        <f t="shared" si="1"/>
        <v>88.666564838857482</v>
      </c>
    </row>
    <row r="17" spans="1:16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1500</v>
      </c>
      <c r="J17" s="245">
        <v>1500</v>
      </c>
      <c r="K17" s="390">
        <v>2100</v>
      </c>
      <c r="L17" s="241">
        <v>0</v>
      </c>
      <c r="M17" s="262">
        <f t="shared" ref="M17:M27" si="6">SUM(K17:L17)</f>
        <v>2100</v>
      </c>
      <c r="N17" s="218">
        <f t="shared" si="1"/>
        <v>140</v>
      </c>
    </row>
    <row r="18" spans="1:16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0">
        <v>0</v>
      </c>
      <c r="L18" s="241">
        <v>0</v>
      </c>
      <c r="M18" s="262">
        <f t="shared" si="6"/>
        <v>0</v>
      </c>
      <c r="N18" s="218" t="str">
        <f t="shared" si="1"/>
        <v/>
      </c>
    </row>
    <row r="19" spans="1:16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3250</v>
      </c>
      <c r="J19" s="245">
        <v>3250</v>
      </c>
      <c r="K19" s="390">
        <v>3250</v>
      </c>
      <c r="L19" s="241">
        <v>0</v>
      </c>
      <c r="M19" s="262">
        <f t="shared" si="6"/>
        <v>3250</v>
      </c>
      <c r="N19" s="218">
        <f t="shared" si="1"/>
        <v>100</v>
      </c>
    </row>
    <row r="20" spans="1:16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100</v>
      </c>
      <c r="J20" s="245">
        <v>100</v>
      </c>
      <c r="K20" s="390">
        <v>100</v>
      </c>
      <c r="L20" s="241">
        <v>0</v>
      </c>
      <c r="M20" s="262">
        <f t="shared" si="6"/>
        <v>100</v>
      </c>
      <c r="N20" s="218">
        <f t="shared" si="1"/>
        <v>100</v>
      </c>
    </row>
    <row r="21" spans="1:16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0">
        <v>0</v>
      </c>
      <c r="L21" s="241">
        <v>0</v>
      </c>
      <c r="M21" s="262">
        <f t="shared" si="6"/>
        <v>0</v>
      </c>
      <c r="N21" s="218" t="str">
        <f t="shared" si="1"/>
        <v/>
      </c>
    </row>
    <row r="22" spans="1:16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6"/>
        <v>0</v>
      </c>
      <c r="N22" s="218" t="str">
        <f t="shared" si="1"/>
        <v/>
      </c>
    </row>
    <row r="23" spans="1:16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1000</v>
      </c>
      <c r="J23" s="245">
        <v>1000</v>
      </c>
      <c r="K23" s="390">
        <v>1000</v>
      </c>
      <c r="L23" s="241">
        <v>0</v>
      </c>
      <c r="M23" s="262">
        <f t="shared" si="6"/>
        <v>1000</v>
      </c>
      <c r="N23" s="218">
        <f t="shared" si="1"/>
        <v>100</v>
      </c>
    </row>
    <row r="24" spans="1:16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0">
        <v>0</v>
      </c>
      <c r="L24" s="241">
        <v>0</v>
      </c>
      <c r="M24" s="262">
        <f t="shared" si="6"/>
        <v>0</v>
      </c>
      <c r="N24" s="218" t="str">
        <f t="shared" si="1"/>
        <v/>
      </c>
      <c r="P24" s="45"/>
    </row>
    <row r="25" spans="1:16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22000</v>
      </c>
      <c r="J25" s="245">
        <v>22000</v>
      </c>
      <c r="K25" s="391">
        <v>21500</v>
      </c>
      <c r="L25" s="245">
        <v>0</v>
      </c>
      <c r="M25" s="262">
        <f t="shared" si="6"/>
        <v>21500</v>
      </c>
      <c r="N25" s="218">
        <f t="shared" si="1"/>
        <v>97.727272727272734</v>
      </c>
      <c r="P25" s="45"/>
    </row>
    <row r="26" spans="1:16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0">
        <v>0</v>
      </c>
      <c r="L26" s="241">
        <v>0</v>
      </c>
      <c r="M26" s="262">
        <f t="shared" si="6"/>
        <v>0</v>
      </c>
      <c r="N26" s="218" t="str">
        <f t="shared" si="1"/>
        <v/>
      </c>
    </row>
    <row r="27" spans="1:16" ht="12.95" customHeight="1">
      <c r="B27" s="10"/>
      <c r="C27" s="11"/>
      <c r="D27" s="11"/>
      <c r="E27" s="170"/>
      <c r="F27" s="184">
        <v>613900</v>
      </c>
      <c r="G27" s="203" t="s">
        <v>519</v>
      </c>
      <c r="H27" s="472" t="s">
        <v>454</v>
      </c>
      <c r="I27" s="245">
        <v>37620</v>
      </c>
      <c r="J27" s="245">
        <v>37620</v>
      </c>
      <c r="K27" s="391">
        <v>25235</v>
      </c>
      <c r="L27" s="245">
        <v>4865</v>
      </c>
      <c r="M27" s="262">
        <f t="shared" si="6"/>
        <v>30100</v>
      </c>
      <c r="N27" s="218">
        <f t="shared" si="1"/>
        <v>80.01063264221159</v>
      </c>
    </row>
    <row r="28" spans="1:16" ht="12.95" customHeight="1">
      <c r="B28" s="10"/>
      <c r="C28" s="11"/>
      <c r="D28" s="11"/>
      <c r="E28" s="170"/>
      <c r="F28" s="184"/>
      <c r="G28" s="203"/>
      <c r="H28" s="24"/>
      <c r="I28" s="244"/>
      <c r="J28" s="244"/>
      <c r="K28" s="534"/>
      <c r="L28" s="240"/>
      <c r="M28" s="264"/>
      <c r="N28" s="218" t="str">
        <f t="shared" si="1"/>
        <v/>
      </c>
    </row>
    <row r="29" spans="1:16" s="1" customFormat="1" ht="12.95" customHeight="1">
      <c r="A29" s="165"/>
      <c r="B29" s="12"/>
      <c r="C29" s="8"/>
      <c r="D29" s="8"/>
      <c r="E29" s="8"/>
      <c r="F29" s="183">
        <v>614000</v>
      </c>
      <c r="G29" s="202"/>
      <c r="H29" s="25" t="s">
        <v>171</v>
      </c>
      <c r="I29" s="244">
        <f t="shared" ref="I29:L29" si="7">SUM(I30:I31)</f>
        <v>1050000</v>
      </c>
      <c r="J29" s="244">
        <f t="shared" ref="J29" si="8">SUM(J30:J31)</f>
        <v>1050000</v>
      </c>
      <c r="K29" s="534">
        <f t="shared" si="7"/>
        <v>50000</v>
      </c>
      <c r="L29" s="240">
        <f t="shared" si="7"/>
        <v>900000</v>
      </c>
      <c r="M29" s="264">
        <f t="shared" ref="M29" si="9">SUM(M30:M31)</f>
        <v>950000</v>
      </c>
      <c r="N29" s="217">
        <f t="shared" si="1"/>
        <v>90.476190476190482</v>
      </c>
    </row>
    <row r="30" spans="1:16" s="165" customFormat="1" ht="12.95" customHeight="1">
      <c r="B30" s="171"/>
      <c r="C30" s="8"/>
      <c r="D30" s="42"/>
      <c r="E30" s="42"/>
      <c r="F30" s="189">
        <v>614100</v>
      </c>
      <c r="G30" s="208" t="s">
        <v>632</v>
      </c>
      <c r="H30" s="497" t="s">
        <v>182</v>
      </c>
      <c r="I30" s="245">
        <v>0</v>
      </c>
      <c r="J30" s="245">
        <v>0</v>
      </c>
      <c r="K30" s="391">
        <v>50000</v>
      </c>
      <c r="L30" s="245">
        <v>0</v>
      </c>
      <c r="M30" s="262">
        <f>SUM(K30:L30)</f>
        <v>50000</v>
      </c>
      <c r="N30" s="218" t="str">
        <f t="shared" si="1"/>
        <v/>
      </c>
    </row>
    <row r="31" spans="1:16" s="1" customFormat="1" ht="12.95" customHeight="1">
      <c r="A31" s="165"/>
      <c r="B31" s="12"/>
      <c r="C31" s="8"/>
      <c r="D31" s="42"/>
      <c r="E31" s="42"/>
      <c r="F31" s="189">
        <v>614500</v>
      </c>
      <c r="G31" s="208" t="s">
        <v>520</v>
      </c>
      <c r="H31" s="497" t="s">
        <v>501</v>
      </c>
      <c r="I31" s="245">
        <v>1050000</v>
      </c>
      <c r="J31" s="245">
        <v>1050000</v>
      </c>
      <c r="K31" s="391">
        <v>0</v>
      </c>
      <c r="L31" s="245">
        <v>900000</v>
      </c>
      <c r="M31" s="262">
        <f>SUM(K31:L31)</f>
        <v>900000</v>
      </c>
      <c r="N31" s="218">
        <f t="shared" si="1"/>
        <v>85.714285714285708</v>
      </c>
    </row>
    <row r="32" spans="1:16" s="168" customFormat="1" ht="12.95" customHeight="1">
      <c r="B32" s="169"/>
      <c r="C32" s="170"/>
      <c r="D32" s="170"/>
      <c r="E32" s="170"/>
      <c r="F32" s="184"/>
      <c r="G32" s="203"/>
      <c r="H32" s="24"/>
      <c r="I32" s="244"/>
      <c r="J32" s="244"/>
      <c r="K32" s="534"/>
      <c r="L32" s="244"/>
      <c r="M32" s="264"/>
      <c r="N32" s="218" t="str">
        <f t="shared" si="1"/>
        <v/>
      </c>
    </row>
    <row r="33" spans="1:14" s="165" customFormat="1" ht="12.95" customHeight="1">
      <c r="B33" s="171"/>
      <c r="C33" s="8"/>
      <c r="D33" s="8"/>
      <c r="E33" s="8"/>
      <c r="F33" s="183">
        <v>615000</v>
      </c>
      <c r="G33" s="202"/>
      <c r="H33" s="25" t="s">
        <v>88</v>
      </c>
      <c r="I33" s="244">
        <f t="shared" ref="I33:L33" si="10">I34</f>
        <v>600000</v>
      </c>
      <c r="J33" s="244">
        <f t="shared" si="10"/>
        <v>600000</v>
      </c>
      <c r="K33" s="534">
        <f t="shared" si="10"/>
        <v>0</v>
      </c>
      <c r="L33" s="244">
        <f t="shared" si="10"/>
        <v>600000</v>
      </c>
      <c r="M33" s="264">
        <f t="shared" ref="M33" si="11">M34</f>
        <v>600000</v>
      </c>
      <c r="N33" s="217">
        <f t="shared" si="1"/>
        <v>100</v>
      </c>
    </row>
    <row r="34" spans="1:14" s="165" customFormat="1" ht="12.95" customHeight="1">
      <c r="B34" s="171"/>
      <c r="C34" s="8"/>
      <c r="D34" s="42"/>
      <c r="E34" s="42"/>
      <c r="F34" s="189">
        <v>615500</v>
      </c>
      <c r="G34" s="208" t="s">
        <v>633</v>
      </c>
      <c r="H34" s="497" t="s">
        <v>688</v>
      </c>
      <c r="I34" s="245">
        <v>600000</v>
      </c>
      <c r="J34" s="245">
        <v>600000</v>
      </c>
      <c r="K34" s="391">
        <v>0</v>
      </c>
      <c r="L34" s="245">
        <v>600000</v>
      </c>
      <c r="M34" s="262">
        <f>SUM(K34:L34)</f>
        <v>600000</v>
      </c>
      <c r="N34" s="218">
        <f t="shared" si="1"/>
        <v>100</v>
      </c>
    </row>
    <row r="35" spans="1:14" ht="12.95" customHeight="1">
      <c r="B35" s="10"/>
      <c r="C35" s="11"/>
      <c r="D35" s="11"/>
      <c r="E35" s="170"/>
      <c r="F35" s="184"/>
      <c r="G35" s="203"/>
      <c r="H35" s="472"/>
      <c r="I35" s="245"/>
      <c r="J35" s="245"/>
      <c r="K35" s="391"/>
      <c r="L35" s="245"/>
      <c r="M35" s="263"/>
      <c r="N35" s="218" t="str">
        <f t="shared" si="1"/>
        <v/>
      </c>
    </row>
    <row r="36" spans="1:14" ht="12.95" customHeight="1">
      <c r="B36" s="12"/>
      <c r="C36" s="8"/>
      <c r="D36" s="8"/>
      <c r="E36" s="8"/>
      <c r="F36" s="183">
        <v>821000</v>
      </c>
      <c r="G36" s="202"/>
      <c r="H36" s="25" t="s">
        <v>89</v>
      </c>
      <c r="I36" s="244">
        <f t="shared" ref="I36" si="12">SUM(I37:I38)</f>
        <v>4000</v>
      </c>
      <c r="J36" s="244">
        <f t="shared" ref="J36" si="13">SUM(J37:J38)</f>
        <v>4000</v>
      </c>
      <c r="K36" s="532">
        <f>SUM(K37:K38)</f>
        <v>2000</v>
      </c>
      <c r="L36" s="244">
        <f>SUM(L37:L38)</f>
        <v>0</v>
      </c>
      <c r="M36" s="264">
        <f>SUM(M37:M38)</f>
        <v>2000</v>
      </c>
      <c r="N36" s="217">
        <f t="shared" si="1"/>
        <v>50</v>
      </c>
    </row>
    <row r="37" spans="1:14" ht="12.95" customHeight="1">
      <c r="B37" s="10"/>
      <c r="C37" s="11"/>
      <c r="D37" s="11"/>
      <c r="E37" s="170"/>
      <c r="F37" s="184">
        <v>821200</v>
      </c>
      <c r="G37" s="203"/>
      <c r="H37" s="24" t="s">
        <v>90</v>
      </c>
      <c r="I37" s="245">
        <v>0</v>
      </c>
      <c r="J37" s="245">
        <v>0</v>
      </c>
      <c r="K37" s="391">
        <v>0</v>
      </c>
      <c r="L37" s="245">
        <v>0</v>
      </c>
      <c r="M37" s="262">
        <f t="shared" ref="M37:M38" si="14">SUM(K37:L37)</f>
        <v>0</v>
      </c>
      <c r="N37" s="218" t="str">
        <f t="shared" si="1"/>
        <v/>
      </c>
    </row>
    <row r="38" spans="1:14" ht="12.95" customHeight="1">
      <c r="B38" s="10"/>
      <c r="C38" s="11"/>
      <c r="D38" s="11"/>
      <c r="E38" s="170"/>
      <c r="F38" s="184">
        <v>821300</v>
      </c>
      <c r="G38" s="203"/>
      <c r="H38" s="24" t="s">
        <v>91</v>
      </c>
      <c r="I38" s="245">
        <v>4000</v>
      </c>
      <c r="J38" s="245">
        <v>4000</v>
      </c>
      <c r="K38" s="391">
        <v>2000</v>
      </c>
      <c r="L38" s="245">
        <v>0</v>
      </c>
      <c r="M38" s="262">
        <f t="shared" si="14"/>
        <v>2000</v>
      </c>
      <c r="N38" s="218">
        <f t="shared" si="1"/>
        <v>50</v>
      </c>
    </row>
    <row r="39" spans="1:14" ht="12.95" customHeight="1">
      <c r="B39" s="10"/>
      <c r="C39" s="11"/>
      <c r="D39" s="11"/>
      <c r="E39" s="170"/>
      <c r="F39" s="184"/>
      <c r="G39" s="203"/>
      <c r="H39" s="24"/>
      <c r="I39" s="241"/>
      <c r="J39" s="241"/>
      <c r="K39" s="390"/>
      <c r="L39" s="241"/>
      <c r="M39" s="263"/>
      <c r="N39" s="218" t="str">
        <f t="shared" si="1"/>
        <v/>
      </c>
    </row>
    <row r="40" spans="1:14" ht="12.95" customHeight="1">
      <c r="B40" s="12"/>
      <c r="C40" s="8"/>
      <c r="D40" s="8"/>
      <c r="E40" s="8"/>
      <c r="F40" s="183"/>
      <c r="G40" s="202"/>
      <c r="H40" s="25" t="s">
        <v>92</v>
      </c>
      <c r="I40" s="408">
        <v>10</v>
      </c>
      <c r="J40" s="408">
        <v>10</v>
      </c>
      <c r="K40" s="535">
        <v>10</v>
      </c>
      <c r="L40" s="244"/>
      <c r="M40" s="266">
        <v>10</v>
      </c>
      <c r="N40" s="218"/>
    </row>
    <row r="41" spans="1:14" ht="12.95" customHeight="1">
      <c r="B41" s="12"/>
      <c r="C41" s="8"/>
      <c r="D41" s="8"/>
      <c r="E41" s="8"/>
      <c r="F41" s="183"/>
      <c r="G41" s="202"/>
      <c r="H41" s="8" t="s">
        <v>106</v>
      </c>
      <c r="I41" s="15">
        <f t="shared" ref="I41:M41" si="15">I8+I13+I16+I29+I33+I36</f>
        <v>2005180</v>
      </c>
      <c r="J41" s="15">
        <f t="shared" si="15"/>
        <v>2005180</v>
      </c>
      <c r="K41" s="401">
        <f t="shared" si="15"/>
        <v>417125</v>
      </c>
      <c r="L41" s="172">
        <f t="shared" si="15"/>
        <v>1504865</v>
      </c>
      <c r="M41" s="264">
        <f t="shared" si="15"/>
        <v>1921990</v>
      </c>
      <c r="N41" s="217">
        <f>IF(J41=0,"",M41/J41*100)</f>
        <v>95.851245274738432</v>
      </c>
    </row>
    <row r="42" spans="1:14" ht="12.95" customHeight="1">
      <c r="B42" s="12"/>
      <c r="C42" s="8"/>
      <c r="D42" s="8"/>
      <c r="E42" s="8"/>
      <c r="F42" s="183"/>
      <c r="G42" s="202"/>
      <c r="H42" s="8" t="s">
        <v>93</v>
      </c>
      <c r="I42" s="15">
        <f>I41</f>
        <v>2005180</v>
      </c>
      <c r="J42" s="15">
        <f>J41</f>
        <v>2005180</v>
      </c>
      <c r="K42" s="401">
        <f t="shared" ref="K42:M43" si="16">K41</f>
        <v>417125</v>
      </c>
      <c r="L42" s="172">
        <f t="shared" si="16"/>
        <v>1504865</v>
      </c>
      <c r="M42" s="264">
        <f t="shared" si="16"/>
        <v>1921990</v>
      </c>
      <c r="N42" s="217">
        <f>IF(J42=0,"",M42/J42*100)</f>
        <v>95.851245274738432</v>
      </c>
    </row>
    <row r="43" spans="1:14" s="1" customFormat="1" ht="12.95" customHeight="1">
      <c r="A43" s="165"/>
      <c r="B43" s="12"/>
      <c r="C43" s="8"/>
      <c r="D43" s="8"/>
      <c r="E43" s="8"/>
      <c r="F43" s="183"/>
      <c r="G43" s="202"/>
      <c r="H43" s="8" t="s">
        <v>94</v>
      </c>
      <c r="I43" s="15">
        <f>I42</f>
        <v>2005180</v>
      </c>
      <c r="J43" s="15">
        <f>J42</f>
        <v>2005180</v>
      </c>
      <c r="K43" s="401">
        <f t="shared" si="16"/>
        <v>417125</v>
      </c>
      <c r="L43" s="172">
        <f t="shared" si="16"/>
        <v>1504865</v>
      </c>
      <c r="M43" s="264">
        <f t="shared" si="16"/>
        <v>1921990</v>
      </c>
      <c r="N43" s="217">
        <f>IF(J43=0,"",M43/J43*100)</f>
        <v>95.851245274738432</v>
      </c>
    </row>
    <row r="44" spans="1:14" s="1" customFormat="1" ht="12.95" customHeight="1" thickBot="1">
      <c r="A44" s="165"/>
      <c r="B44" s="16"/>
      <c r="C44" s="17"/>
      <c r="D44" s="17"/>
      <c r="E44" s="17"/>
      <c r="F44" s="185"/>
      <c r="G44" s="204"/>
      <c r="H44" s="17"/>
      <c r="I44" s="31"/>
      <c r="J44" s="31"/>
      <c r="K44" s="402"/>
      <c r="L44" s="31"/>
      <c r="M44" s="267"/>
      <c r="N44" s="220"/>
    </row>
    <row r="45" spans="1:14" s="1" customFormat="1" ht="12.95" customHeight="1">
      <c r="A45" s="165"/>
      <c r="B45" s="9"/>
      <c r="C45" s="9"/>
      <c r="D45" s="9"/>
      <c r="E45" s="168"/>
      <c r="F45" s="186"/>
      <c r="G45" s="205"/>
      <c r="H45" s="45"/>
      <c r="I45" s="51"/>
      <c r="J45" s="51"/>
      <c r="K45" s="51"/>
      <c r="L45" s="51"/>
      <c r="M45" s="270"/>
      <c r="N45" s="221"/>
    </row>
    <row r="46" spans="1:14" s="1" customFormat="1" ht="12.95" customHeight="1">
      <c r="A46" s="165"/>
      <c r="B46" s="45"/>
      <c r="C46" s="9"/>
      <c r="D46" s="9"/>
      <c r="E46" s="168"/>
      <c r="F46" s="186"/>
      <c r="G46" s="205"/>
      <c r="H46" s="9"/>
      <c r="I46" s="51"/>
      <c r="J46" s="51"/>
      <c r="K46" s="51"/>
      <c r="L46" s="51"/>
      <c r="M46" s="270"/>
      <c r="N46" s="221"/>
    </row>
    <row r="47" spans="1:14" ht="12.95" customHeight="1">
      <c r="B47" s="45"/>
      <c r="F47" s="186"/>
      <c r="G47" s="205"/>
      <c r="M47" s="270"/>
    </row>
    <row r="48" spans="1:14" ht="12.95" customHeight="1">
      <c r="B48" s="45"/>
      <c r="F48" s="186"/>
      <c r="G48" s="205"/>
      <c r="M48" s="270"/>
    </row>
    <row r="49" spans="2:13" ht="12.95" customHeight="1">
      <c r="B49" s="45"/>
      <c r="F49" s="186"/>
      <c r="G49" s="205"/>
      <c r="M49" s="270"/>
    </row>
    <row r="50" spans="2:13" ht="12.95" customHeight="1">
      <c r="F50" s="186"/>
      <c r="G50" s="205"/>
      <c r="M50" s="270"/>
    </row>
    <row r="51" spans="2:13" ht="12.95" customHeight="1">
      <c r="F51" s="186"/>
      <c r="G51" s="205"/>
      <c r="M51" s="270"/>
    </row>
    <row r="52" spans="2:13" ht="12.95" customHeight="1">
      <c r="F52" s="186"/>
      <c r="G52" s="205"/>
      <c r="M52" s="270"/>
    </row>
    <row r="53" spans="2:13" ht="12.95" customHeight="1">
      <c r="F53" s="186"/>
      <c r="G53" s="205"/>
      <c r="M53" s="270"/>
    </row>
    <row r="54" spans="2:13" ht="12.95" customHeight="1">
      <c r="F54" s="186"/>
      <c r="G54" s="205"/>
      <c r="M54" s="270"/>
    </row>
    <row r="55" spans="2:13" ht="12.95" customHeight="1">
      <c r="F55" s="186"/>
      <c r="G55" s="205"/>
      <c r="M55" s="270"/>
    </row>
    <row r="56" spans="2:13" ht="12.95" customHeight="1">
      <c r="F56" s="186"/>
      <c r="G56" s="205"/>
      <c r="M56" s="270"/>
    </row>
    <row r="57" spans="2:13" ht="12.95" customHeight="1">
      <c r="F57" s="186"/>
      <c r="G57" s="205"/>
      <c r="M57" s="270"/>
    </row>
    <row r="58" spans="2:13" ht="12.95" customHeight="1">
      <c r="F58" s="186"/>
      <c r="G58" s="205"/>
      <c r="M58" s="270"/>
    </row>
    <row r="59" spans="2:13" ht="12.95" customHeight="1">
      <c r="F59" s="186"/>
      <c r="G59" s="205"/>
      <c r="M59" s="270"/>
    </row>
    <row r="60" spans="2:13" ht="12.95" customHeight="1">
      <c r="F60" s="186"/>
      <c r="G60" s="205"/>
      <c r="M60" s="270"/>
    </row>
    <row r="61" spans="2:13" ht="12.95" customHeight="1">
      <c r="F61" s="186"/>
      <c r="G61" s="205"/>
      <c r="M61" s="270"/>
    </row>
    <row r="62" spans="2:13" ht="12.95" customHeight="1">
      <c r="F62" s="186"/>
      <c r="G62" s="205"/>
      <c r="M62" s="270"/>
    </row>
    <row r="63" spans="2:13" ht="12.95" customHeight="1">
      <c r="F63" s="186"/>
      <c r="G63" s="205"/>
      <c r="M63" s="270"/>
    </row>
    <row r="64" spans="2:13" ht="17.100000000000001" customHeight="1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205"/>
      <c r="M74" s="270"/>
    </row>
    <row r="75" spans="6:13" ht="14.25">
      <c r="F75" s="186"/>
      <c r="G75" s="205"/>
      <c r="M75" s="270"/>
    </row>
    <row r="76" spans="6:13" ht="14.25">
      <c r="F76" s="186"/>
      <c r="G76" s="205"/>
      <c r="M76" s="270"/>
    </row>
    <row r="77" spans="6:13" ht="14.25">
      <c r="F77" s="186"/>
      <c r="G77" s="205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 ht="14.25">
      <c r="F91" s="186"/>
      <c r="G91" s="186"/>
      <c r="M91" s="270"/>
    </row>
    <row r="92" spans="6:13" ht="14.25">
      <c r="F92" s="186"/>
      <c r="G92" s="186"/>
      <c r="M92" s="270"/>
    </row>
    <row r="93" spans="6:13" ht="14.25">
      <c r="F93" s="186"/>
      <c r="G93" s="186"/>
      <c r="M93" s="270"/>
    </row>
    <row r="94" spans="6:13" ht="14.25">
      <c r="F94" s="186"/>
      <c r="G94" s="186"/>
      <c r="M94" s="270"/>
    </row>
    <row r="95" spans="6:13">
      <c r="G95" s="186"/>
    </row>
    <row r="96" spans="6:13">
      <c r="G96" s="186"/>
    </row>
    <row r="97" spans="7:7">
      <c r="G97" s="186"/>
    </row>
    <row r="98" spans="7:7">
      <c r="G98" s="186"/>
    </row>
    <row r="99" spans="7:7">
      <c r="G99" s="186"/>
    </row>
    <row r="100" spans="7:7">
      <c r="G100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9"/>
  <dimension ref="A1:R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5" width="11" style="9" bestFit="1" customWidth="1"/>
    <col min="16" max="16384" width="9.140625" style="9"/>
  </cols>
  <sheetData>
    <row r="1" spans="1:18" ht="13.5" thickBot="1"/>
    <row r="2" spans="1:18" s="83" customFormat="1" ht="20.100000000000001" customHeight="1" thickTop="1" thickBot="1">
      <c r="B2" s="876" t="s">
        <v>660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8" s="1" customFormat="1" ht="8.1" customHeight="1" thickTop="1" thickBot="1">
      <c r="A3" s="165"/>
      <c r="E3" s="165"/>
      <c r="F3" s="2"/>
      <c r="G3" s="166"/>
      <c r="H3" s="879"/>
      <c r="I3" s="879"/>
      <c r="J3" s="145"/>
      <c r="K3" s="246"/>
      <c r="L3" s="246"/>
      <c r="M3" s="246"/>
      <c r="N3" s="215"/>
      <c r="O3" s="247"/>
    </row>
    <row r="4" spans="1:18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8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8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8" s="2" customFormat="1" ht="12.95" customHeight="1">
      <c r="A7" s="166"/>
      <c r="B7" s="6" t="s">
        <v>123</v>
      </c>
      <c r="C7" s="7" t="s">
        <v>80</v>
      </c>
      <c r="D7" s="7" t="s">
        <v>81</v>
      </c>
      <c r="E7" s="459" t="s">
        <v>730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8" s="2" customFormat="1" ht="12.95" customHeight="1">
      <c r="A8" s="166"/>
      <c r="B8" s="6"/>
      <c r="C8" s="7"/>
      <c r="D8" s="7"/>
      <c r="E8" s="7"/>
      <c r="F8" s="183">
        <v>600000</v>
      </c>
      <c r="G8" s="202"/>
      <c r="H8" s="470" t="s">
        <v>112</v>
      </c>
      <c r="I8" s="434">
        <f t="shared" ref="I8:J8" si="0">I9</f>
        <v>12000</v>
      </c>
      <c r="J8" s="434">
        <f t="shared" si="0"/>
        <v>12000</v>
      </c>
      <c r="K8" s="548">
        <f>K9</f>
        <v>15000</v>
      </c>
      <c r="L8" s="434">
        <f>L9</f>
        <v>0</v>
      </c>
      <c r="M8" s="266">
        <f>M9</f>
        <v>15000</v>
      </c>
      <c r="N8" s="217">
        <f t="shared" ref="N8:N48" si="1">IF(J8=0,"",M8/J8*100)</f>
        <v>125</v>
      </c>
    </row>
    <row r="9" spans="1:18" s="2" customFormat="1" ht="12.95" customHeight="1">
      <c r="A9" s="166"/>
      <c r="B9" s="6"/>
      <c r="C9" s="7"/>
      <c r="D9" s="7"/>
      <c r="E9" s="7"/>
      <c r="F9" s="184">
        <v>600000</v>
      </c>
      <c r="G9" s="203"/>
      <c r="H9" s="471" t="s">
        <v>102</v>
      </c>
      <c r="I9" s="243">
        <v>12000</v>
      </c>
      <c r="J9" s="243">
        <v>12000</v>
      </c>
      <c r="K9" s="388">
        <v>15000</v>
      </c>
      <c r="L9" s="243">
        <v>0</v>
      </c>
      <c r="M9" s="263">
        <f>SUM(K9:L9)</f>
        <v>15000</v>
      </c>
      <c r="N9" s="218">
        <f t="shared" si="1"/>
        <v>125</v>
      </c>
    </row>
    <row r="10" spans="1:18" s="2" customFormat="1" ht="12.95" customHeight="1">
      <c r="A10" s="166"/>
      <c r="B10" s="6"/>
      <c r="C10" s="7"/>
      <c r="D10" s="7"/>
      <c r="E10" s="7"/>
      <c r="F10" s="183"/>
      <c r="G10" s="202"/>
      <c r="H10" s="397"/>
      <c r="I10" s="243"/>
      <c r="J10" s="243"/>
      <c r="K10" s="388"/>
      <c r="L10" s="243"/>
      <c r="M10" s="263"/>
      <c r="N10" s="218" t="str">
        <f t="shared" si="1"/>
        <v/>
      </c>
    </row>
    <row r="11" spans="1:18" s="1" customFormat="1" ht="12.95" customHeight="1">
      <c r="A11" s="165"/>
      <c r="B11" s="12"/>
      <c r="C11" s="8"/>
      <c r="D11" s="8"/>
      <c r="E11" s="8"/>
      <c r="F11" s="183">
        <v>611000</v>
      </c>
      <c r="G11" s="202"/>
      <c r="H11" s="25" t="s">
        <v>141</v>
      </c>
      <c r="I11" s="244">
        <f t="shared" ref="I11" si="2">SUM(I12:I14)</f>
        <v>409320</v>
      </c>
      <c r="J11" s="244">
        <f t="shared" ref="J11" si="3">SUM(J12:J14)</f>
        <v>409320</v>
      </c>
      <c r="K11" s="532">
        <f>SUM(K12:K14)</f>
        <v>440490</v>
      </c>
      <c r="L11" s="244">
        <f>SUM(L12:L14)</f>
        <v>0</v>
      </c>
      <c r="M11" s="261">
        <f>SUM(M12:M14)</f>
        <v>440490</v>
      </c>
      <c r="N11" s="217">
        <f t="shared" si="1"/>
        <v>107.61506889475227</v>
      </c>
    </row>
    <row r="12" spans="1:18" ht="12.95" customHeight="1">
      <c r="B12" s="10"/>
      <c r="C12" s="11"/>
      <c r="D12" s="11"/>
      <c r="E12" s="170"/>
      <c r="F12" s="184">
        <v>611100</v>
      </c>
      <c r="G12" s="203"/>
      <c r="H12" s="472" t="s">
        <v>167</v>
      </c>
      <c r="I12" s="245">
        <v>340160</v>
      </c>
      <c r="J12" s="245">
        <v>340160</v>
      </c>
      <c r="K12" s="391">
        <f>352590+1500+790+12*1600</f>
        <v>374080</v>
      </c>
      <c r="L12" s="245">
        <v>0</v>
      </c>
      <c r="M12" s="263">
        <f t="shared" ref="M12:M14" si="4">SUM(K12:L12)</f>
        <v>374080</v>
      </c>
      <c r="N12" s="218">
        <f t="shared" si="1"/>
        <v>109.97177798682974</v>
      </c>
    </row>
    <row r="13" spans="1:18" ht="12.95" customHeight="1">
      <c r="B13" s="10"/>
      <c r="C13" s="11"/>
      <c r="D13" s="11"/>
      <c r="E13" s="170"/>
      <c r="F13" s="184">
        <v>611200</v>
      </c>
      <c r="G13" s="203"/>
      <c r="H13" s="24" t="s">
        <v>168</v>
      </c>
      <c r="I13" s="243">
        <v>69160</v>
      </c>
      <c r="J13" s="243">
        <v>69160</v>
      </c>
      <c r="K13" s="388">
        <f>59840+800+1750+11*320+500</f>
        <v>66410</v>
      </c>
      <c r="L13" s="243">
        <v>0</v>
      </c>
      <c r="M13" s="263">
        <f t="shared" si="4"/>
        <v>66410</v>
      </c>
      <c r="N13" s="218">
        <f t="shared" si="1"/>
        <v>96.023713128976283</v>
      </c>
      <c r="R13" s="441"/>
    </row>
    <row r="14" spans="1:18" ht="12.95" customHeight="1">
      <c r="B14" s="10"/>
      <c r="C14" s="11"/>
      <c r="D14" s="11"/>
      <c r="E14" s="170"/>
      <c r="F14" s="184">
        <v>611200</v>
      </c>
      <c r="G14" s="203"/>
      <c r="H14" s="479" t="s">
        <v>446</v>
      </c>
      <c r="I14" s="243">
        <v>0</v>
      </c>
      <c r="J14" s="243">
        <v>0</v>
      </c>
      <c r="K14" s="388">
        <v>0</v>
      </c>
      <c r="L14" s="243">
        <v>0</v>
      </c>
      <c r="M14" s="263">
        <f t="shared" si="4"/>
        <v>0</v>
      </c>
      <c r="N14" s="218" t="str">
        <f t="shared" si="1"/>
        <v/>
      </c>
      <c r="P14" s="50"/>
    </row>
    <row r="15" spans="1:18" ht="12.95" customHeight="1">
      <c r="B15" s="10"/>
      <c r="C15" s="11"/>
      <c r="D15" s="11"/>
      <c r="E15" s="170"/>
      <c r="F15" s="184"/>
      <c r="G15" s="203"/>
      <c r="H15" s="472"/>
      <c r="I15" s="243"/>
      <c r="J15" s="243"/>
      <c r="K15" s="388"/>
      <c r="L15" s="243"/>
      <c r="M15" s="262"/>
      <c r="N15" s="218" t="str">
        <f t="shared" si="1"/>
        <v/>
      </c>
    </row>
    <row r="16" spans="1:18" s="1" customFormat="1" ht="12.95" customHeight="1">
      <c r="A16" s="165"/>
      <c r="B16" s="12"/>
      <c r="C16" s="8"/>
      <c r="D16" s="8"/>
      <c r="E16" s="8"/>
      <c r="F16" s="183">
        <v>612000</v>
      </c>
      <c r="G16" s="202"/>
      <c r="H16" s="25" t="s">
        <v>140</v>
      </c>
      <c r="I16" s="244">
        <f t="shared" ref="I16" si="5">I17+I18</f>
        <v>36300</v>
      </c>
      <c r="J16" s="244">
        <f t="shared" ref="J16" si="6">J17+J18</f>
        <v>36300</v>
      </c>
      <c r="K16" s="532">
        <f>K17+K18</f>
        <v>39960</v>
      </c>
      <c r="L16" s="244">
        <f>L17+L18</f>
        <v>0</v>
      </c>
      <c r="M16" s="261">
        <f>M17+M18</f>
        <v>39960</v>
      </c>
      <c r="N16" s="217">
        <f t="shared" si="1"/>
        <v>110.08264462809917</v>
      </c>
    </row>
    <row r="17" spans="1:14" ht="12.95" customHeight="1">
      <c r="B17" s="10"/>
      <c r="C17" s="11"/>
      <c r="D17" s="11"/>
      <c r="E17" s="170"/>
      <c r="F17" s="184">
        <v>612100</v>
      </c>
      <c r="G17" s="203"/>
      <c r="H17" s="474" t="s">
        <v>82</v>
      </c>
      <c r="I17" s="243">
        <v>36300</v>
      </c>
      <c r="J17" s="243">
        <v>36300</v>
      </c>
      <c r="K17" s="388">
        <f>37030+800+90+12*170</f>
        <v>39960</v>
      </c>
      <c r="L17" s="243">
        <v>0</v>
      </c>
      <c r="M17" s="263">
        <f>SUM(K17:L17)</f>
        <v>39960</v>
      </c>
      <c r="N17" s="218">
        <f t="shared" si="1"/>
        <v>110.08264462809917</v>
      </c>
    </row>
    <row r="18" spans="1:14" ht="12.95" customHeight="1">
      <c r="B18" s="10"/>
      <c r="C18" s="11"/>
      <c r="D18" s="11"/>
      <c r="E18" s="170"/>
      <c r="F18" s="184"/>
      <c r="G18" s="203"/>
      <c r="H18" s="24"/>
      <c r="I18" s="243"/>
      <c r="J18" s="243"/>
      <c r="K18" s="389"/>
      <c r="L18" s="239"/>
      <c r="M18" s="263"/>
      <c r="N18" s="218" t="str">
        <f t="shared" si="1"/>
        <v/>
      </c>
    </row>
    <row r="19" spans="1:14" s="1" customFormat="1" ht="12.95" customHeight="1">
      <c r="A19" s="165"/>
      <c r="B19" s="12"/>
      <c r="C19" s="8"/>
      <c r="D19" s="8"/>
      <c r="E19" s="8"/>
      <c r="F19" s="183">
        <v>613000</v>
      </c>
      <c r="G19" s="202"/>
      <c r="H19" s="25" t="s">
        <v>142</v>
      </c>
      <c r="I19" s="244">
        <f t="shared" ref="I19" si="7">SUM(I20:I30)</f>
        <v>311900</v>
      </c>
      <c r="J19" s="244">
        <f t="shared" ref="J19" si="8">SUM(J20:J30)</f>
        <v>311900</v>
      </c>
      <c r="K19" s="533">
        <f>SUM(K20:K30)</f>
        <v>298910</v>
      </c>
      <c r="L19" s="242">
        <f>SUM(L20:L30)</f>
        <v>0</v>
      </c>
      <c r="M19" s="264">
        <f>SUM(M20:M30)</f>
        <v>298910</v>
      </c>
      <c r="N19" s="217">
        <f t="shared" si="1"/>
        <v>95.835203590894508</v>
      </c>
    </row>
    <row r="20" spans="1:14" ht="12.95" customHeight="1">
      <c r="B20" s="10"/>
      <c r="C20" s="11"/>
      <c r="D20" s="11"/>
      <c r="E20" s="170"/>
      <c r="F20" s="184">
        <v>613100</v>
      </c>
      <c r="G20" s="203"/>
      <c r="H20" s="24" t="s">
        <v>83</v>
      </c>
      <c r="I20" s="243">
        <v>2800</v>
      </c>
      <c r="J20" s="243">
        <v>2800</v>
      </c>
      <c r="K20" s="388">
        <v>3200</v>
      </c>
      <c r="L20" s="239">
        <v>0</v>
      </c>
      <c r="M20" s="263">
        <f t="shared" ref="M20:M30" si="9">SUM(K20:L20)</f>
        <v>3200</v>
      </c>
      <c r="N20" s="218">
        <f t="shared" si="1"/>
        <v>114.28571428571428</v>
      </c>
    </row>
    <row r="21" spans="1:14" ht="12.95" customHeight="1">
      <c r="B21" s="10"/>
      <c r="C21" s="11"/>
      <c r="D21" s="11"/>
      <c r="E21" s="170"/>
      <c r="F21" s="184">
        <v>613200</v>
      </c>
      <c r="G21" s="203"/>
      <c r="H21" s="24" t="s">
        <v>84</v>
      </c>
      <c r="I21" s="243">
        <v>0</v>
      </c>
      <c r="J21" s="243">
        <v>0</v>
      </c>
      <c r="K21" s="389">
        <v>0</v>
      </c>
      <c r="L21" s="239">
        <v>0</v>
      </c>
      <c r="M21" s="263">
        <f t="shared" si="9"/>
        <v>0</v>
      </c>
      <c r="N21" s="218" t="str">
        <f t="shared" si="1"/>
        <v/>
      </c>
    </row>
    <row r="22" spans="1:14" ht="12.95" customHeight="1">
      <c r="B22" s="10"/>
      <c r="C22" s="11"/>
      <c r="D22" s="11"/>
      <c r="E22" s="170"/>
      <c r="F22" s="184">
        <v>613300</v>
      </c>
      <c r="G22" s="203"/>
      <c r="H22" s="472" t="s">
        <v>169</v>
      </c>
      <c r="I22" s="243">
        <v>7600</v>
      </c>
      <c r="J22" s="243">
        <v>7600</v>
      </c>
      <c r="K22" s="389">
        <v>7600</v>
      </c>
      <c r="L22" s="239">
        <v>0</v>
      </c>
      <c r="M22" s="263">
        <f t="shared" si="9"/>
        <v>7600</v>
      </c>
      <c r="N22" s="218">
        <f t="shared" si="1"/>
        <v>100</v>
      </c>
    </row>
    <row r="23" spans="1:14" ht="12.95" customHeight="1">
      <c r="B23" s="10"/>
      <c r="C23" s="11"/>
      <c r="D23" s="11"/>
      <c r="E23" s="170"/>
      <c r="F23" s="184">
        <v>613400</v>
      </c>
      <c r="G23" s="203"/>
      <c r="H23" s="24" t="s">
        <v>143</v>
      </c>
      <c r="I23" s="243">
        <v>2500</v>
      </c>
      <c r="J23" s="243">
        <v>2500</v>
      </c>
      <c r="K23" s="389">
        <v>2500</v>
      </c>
      <c r="L23" s="239">
        <v>0</v>
      </c>
      <c r="M23" s="263">
        <f t="shared" si="9"/>
        <v>2500</v>
      </c>
      <c r="N23" s="218">
        <f t="shared" si="1"/>
        <v>100</v>
      </c>
    </row>
    <row r="24" spans="1:14" ht="12.95" customHeight="1">
      <c r="B24" s="10"/>
      <c r="C24" s="11"/>
      <c r="D24" s="11"/>
      <c r="E24" s="170"/>
      <c r="F24" s="184">
        <v>613500</v>
      </c>
      <c r="G24" s="203"/>
      <c r="H24" s="24" t="s">
        <v>85</v>
      </c>
      <c r="I24" s="243">
        <v>0</v>
      </c>
      <c r="J24" s="243">
        <v>0</v>
      </c>
      <c r="K24" s="388">
        <v>0</v>
      </c>
      <c r="L24" s="243">
        <v>0</v>
      </c>
      <c r="M24" s="263">
        <f t="shared" si="9"/>
        <v>0</v>
      </c>
      <c r="N24" s="218" t="str">
        <f t="shared" si="1"/>
        <v/>
      </c>
    </row>
    <row r="25" spans="1:14" ht="12.95" customHeight="1">
      <c r="B25" s="10"/>
      <c r="C25" s="11"/>
      <c r="D25" s="11"/>
      <c r="E25" s="170"/>
      <c r="F25" s="184">
        <v>613600</v>
      </c>
      <c r="G25" s="203"/>
      <c r="H25" s="472" t="s">
        <v>170</v>
      </c>
      <c r="I25" s="243">
        <v>0</v>
      </c>
      <c r="J25" s="243">
        <v>0</v>
      </c>
      <c r="K25" s="388">
        <v>0</v>
      </c>
      <c r="L25" s="243">
        <v>0</v>
      </c>
      <c r="M25" s="263">
        <f t="shared" si="9"/>
        <v>0</v>
      </c>
      <c r="N25" s="218" t="str">
        <f t="shared" si="1"/>
        <v/>
      </c>
    </row>
    <row r="26" spans="1:14" ht="12.95" customHeight="1">
      <c r="B26" s="10"/>
      <c r="C26" s="11"/>
      <c r="D26" s="11"/>
      <c r="E26" s="170"/>
      <c r="F26" s="184">
        <v>613700</v>
      </c>
      <c r="G26" s="203"/>
      <c r="H26" s="24" t="s">
        <v>86</v>
      </c>
      <c r="I26" s="245">
        <v>1500</v>
      </c>
      <c r="J26" s="245">
        <v>1500</v>
      </c>
      <c r="K26" s="391">
        <v>1500</v>
      </c>
      <c r="L26" s="245">
        <v>0</v>
      </c>
      <c r="M26" s="263">
        <f t="shared" si="9"/>
        <v>1500</v>
      </c>
      <c r="N26" s="218">
        <f t="shared" si="1"/>
        <v>100</v>
      </c>
    </row>
    <row r="27" spans="1:14" ht="12.95" customHeight="1">
      <c r="B27" s="10"/>
      <c r="C27" s="11"/>
      <c r="D27" s="11"/>
      <c r="E27" s="170"/>
      <c r="F27" s="184">
        <v>613800</v>
      </c>
      <c r="G27" s="203"/>
      <c r="H27" s="24" t="s">
        <v>144</v>
      </c>
      <c r="I27" s="243">
        <v>11500</v>
      </c>
      <c r="J27" s="243">
        <v>11500</v>
      </c>
      <c r="K27" s="388">
        <v>36800</v>
      </c>
      <c r="L27" s="243">
        <v>0</v>
      </c>
      <c r="M27" s="263">
        <f t="shared" si="9"/>
        <v>36800</v>
      </c>
      <c r="N27" s="218">
        <f t="shared" si="1"/>
        <v>320</v>
      </c>
    </row>
    <row r="28" spans="1:14" ht="12.95" customHeight="1">
      <c r="B28" s="10"/>
      <c r="C28" s="11"/>
      <c r="D28" s="11"/>
      <c r="E28" s="170"/>
      <c r="F28" s="184">
        <v>613900</v>
      </c>
      <c r="G28" s="203"/>
      <c r="H28" s="24" t="s">
        <v>145</v>
      </c>
      <c r="I28" s="238">
        <v>21000</v>
      </c>
      <c r="J28" s="238">
        <v>21000</v>
      </c>
      <c r="K28" s="392">
        <v>18100</v>
      </c>
      <c r="L28" s="238">
        <v>0</v>
      </c>
      <c r="M28" s="263">
        <f t="shared" si="9"/>
        <v>18100</v>
      </c>
      <c r="N28" s="218">
        <f t="shared" si="1"/>
        <v>86.19047619047619</v>
      </c>
    </row>
    <row r="29" spans="1:14" ht="12.95" customHeight="1">
      <c r="B29" s="10"/>
      <c r="C29" s="11"/>
      <c r="D29" s="11"/>
      <c r="E29" s="455"/>
      <c r="F29" s="190">
        <v>613900</v>
      </c>
      <c r="G29" s="209" t="s">
        <v>521</v>
      </c>
      <c r="H29" s="472" t="s">
        <v>449</v>
      </c>
      <c r="I29" s="243">
        <v>265000</v>
      </c>
      <c r="J29" s="243">
        <v>265000</v>
      </c>
      <c r="K29" s="388">
        <v>229210</v>
      </c>
      <c r="L29" s="243">
        <v>0</v>
      </c>
      <c r="M29" s="263">
        <f t="shared" si="9"/>
        <v>229210</v>
      </c>
      <c r="N29" s="218">
        <f t="shared" si="1"/>
        <v>86.494339622641519</v>
      </c>
    </row>
    <row r="30" spans="1:14" ht="12.95" customHeight="1">
      <c r="B30" s="10"/>
      <c r="C30" s="11"/>
      <c r="D30" s="11"/>
      <c r="E30" s="170"/>
      <c r="F30" s="184">
        <v>613900</v>
      </c>
      <c r="G30" s="203"/>
      <c r="H30" s="479" t="s">
        <v>447</v>
      </c>
      <c r="I30" s="243">
        <v>0</v>
      </c>
      <c r="J30" s="243">
        <v>0</v>
      </c>
      <c r="K30" s="388">
        <v>0</v>
      </c>
      <c r="L30" s="243">
        <v>0</v>
      </c>
      <c r="M30" s="263">
        <f t="shared" si="9"/>
        <v>0</v>
      </c>
      <c r="N30" s="218" t="str">
        <f t="shared" si="1"/>
        <v/>
      </c>
    </row>
    <row r="31" spans="1:14" ht="12.95" customHeight="1">
      <c r="B31" s="10"/>
      <c r="C31" s="11"/>
      <c r="D31" s="11"/>
      <c r="E31" s="455"/>
      <c r="F31" s="190"/>
      <c r="G31" s="209"/>
      <c r="H31" s="24"/>
      <c r="I31" s="243"/>
      <c r="J31" s="243"/>
      <c r="K31" s="388"/>
      <c r="L31" s="243"/>
      <c r="M31" s="263"/>
      <c r="N31" s="218" t="str">
        <f t="shared" si="1"/>
        <v/>
      </c>
    </row>
    <row r="32" spans="1:14" s="1" customFormat="1" ht="12.95" customHeight="1">
      <c r="A32" s="165"/>
      <c r="B32" s="12"/>
      <c r="C32" s="8"/>
      <c r="D32" s="25"/>
      <c r="E32" s="25"/>
      <c r="F32" s="183">
        <v>614000</v>
      </c>
      <c r="G32" s="202"/>
      <c r="H32" s="25" t="s">
        <v>171</v>
      </c>
      <c r="I32" s="244">
        <f t="shared" ref="I32" si="10">SUM(I33:I35)</f>
        <v>1044000</v>
      </c>
      <c r="J32" s="244">
        <f t="shared" ref="J32" si="11">SUM(J33:J35)</f>
        <v>1044000</v>
      </c>
      <c r="K32" s="532">
        <f>SUM(K33:K35)</f>
        <v>588000</v>
      </c>
      <c r="L32" s="244">
        <f>SUM(L33:L35)</f>
        <v>0</v>
      </c>
      <c r="M32" s="264">
        <f>SUM(M33:M35)</f>
        <v>588000</v>
      </c>
      <c r="N32" s="217">
        <f t="shared" si="1"/>
        <v>56.321839080459768</v>
      </c>
    </row>
    <row r="33" spans="1:16" ht="12.95" customHeight="1">
      <c r="B33" s="10"/>
      <c r="C33" s="11"/>
      <c r="D33" s="24"/>
      <c r="E33" s="24"/>
      <c r="F33" s="184">
        <v>614100</v>
      </c>
      <c r="G33" s="200" t="s">
        <v>522</v>
      </c>
      <c r="H33" s="604" t="s">
        <v>873</v>
      </c>
      <c r="I33" s="243">
        <v>900000</v>
      </c>
      <c r="J33" s="243">
        <v>900000</v>
      </c>
      <c r="K33" s="388">
        <v>500000</v>
      </c>
      <c r="L33" s="243">
        <v>0</v>
      </c>
      <c r="M33" s="263">
        <f t="shared" ref="M33:M35" si="12">SUM(K33:L33)</f>
        <v>500000</v>
      </c>
      <c r="N33" s="218">
        <f t="shared" si="1"/>
        <v>55.555555555555557</v>
      </c>
      <c r="O33" s="58"/>
      <c r="P33" s="45"/>
    </row>
    <row r="34" spans="1:16" ht="12.95" customHeight="1">
      <c r="B34" s="10"/>
      <c r="C34" s="11"/>
      <c r="D34" s="24"/>
      <c r="E34" s="24"/>
      <c r="F34" s="225">
        <v>614800</v>
      </c>
      <c r="G34" s="211" t="s">
        <v>523</v>
      </c>
      <c r="H34" s="604" t="s">
        <v>104</v>
      </c>
      <c r="I34" s="243">
        <v>120000</v>
      </c>
      <c r="J34" s="243">
        <v>120000</v>
      </c>
      <c r="K34" s="388">
        <v>68000</v>
      </c>
      <c r="L34" s="243">
        <v>0</v>
      </c>
      <c r="M34" s="263">
        <f t="shared" si="12"/>
        <v>68000</v>
      </c>
      <c r="N34" s="218">
        <f t="shared" si="1"/>
        <v>56.666666666666664</v>
      </c>
      <c r="O34" s="45"/>
    </row>
    <row r="35" spans="1:16" ht="24.75" customHeight="1">
      <c r="B35" s="10"/>
      <c r="C35" s="11"/>
      <c r="D35" s="24"/>
      <c r="E35" s="24"/>
      <c r="F35" s="225">
        <v>614800</v>
      </c>
      <c r="G35" s="211" t="s">
        <v>524</v>
      </c>
      <c r="H35" s="498" t="s">
        <v>481</v>
      </c>
      <c r="I35" s="243">
        <v>24000</v>
      </c>
      <c r="J35" s="243">
        <v>24000</v>
      </c>
      <c r="K35" s="388">
        <v>20000</v>
      </c>
      <c r="L35" s="243">
        <v>0</v>
      </c>
      <c r="M35" s="263">
        <f t="shared" si="12"/>
        <v>20000</v>
      </c>
      <c r="N35" s="218">
        <f t="shared" si="1"/>
        <v>83.333333333333343</v>
      </c>
      <c r="O35" s="45"/>
    </row>
    <row r="36" spans="1:16" ht="12.95" customHeight="1">
      <c r="B36" s="10"/>
      <c r="C36" s="11"/>
      <c r="D36" s="24"/>
      <c r="E36" s="456"/>
      <c r="F36" s="226"/>
      <c r="G36" s="212"/>
      <c r="H36" s="38"/>
      <c r="I36" s="381"/>
      <c r="J36" s="381"/>
      <c r="K36" s="388"/>
      <c r="L36" s="243"/>
      <c r="M36" s="263"/>
      <c r="N36" s="218" t="str">
        <f t="shared" si="1"/>
        <v/>
      </c>
    </row>
    <row r="37" spans="1:16" ht="12.95" customHeight="1">
      <c r="B37" s="10"/>
      <c r="C37" s="11"/>
      <c r="D37" s="11"/>
      <c r="E37" s="457"/>
      <c r="F37" s="193">
        <v>616000</v>
      </c>
      <c r="G37" s="213"/>
      <c r="H37" s="26" t="s">
        <v>174</v>
      </c>
      <c r="I37" s="380">
        <f t="shared" ref="I37" si="13">SUM(I38:I39)</f>
        <v>34780</v>
      </c>
      <c r="J37" s="380">
        <f t="shared" ref="J37" si="14">SUM(J38:J39)</f>
        <v>34780</v>
      </c>
      <c r="K37" s="394">
        <f>SUM(K38:K39)</f>
        <v>30430</v>
      </c>
      <c r="L37" s="235">
        <f>SUM(L38:L39)</f>
        <v>0</v>
      </c>
      <c r="M37" s="264">
        <f>SUM(M38:M39)</f>
        <v>30430</v>
      </c>
      <c r="N37" s="217">
        <f t="shared" si="1"/>
        <v>87.492811960897072</v>
      </c>
    </row>
    <row r="38" spans="1:16" ht="12.95" customHeight="1">
      <c r="B38" s="10"/>
      <c r="C38" s="11"/>
      <c r="D38" s="11"/>
      <c r="E38" s="385"/>
      <c r="F38" s="191">
        <v>616200</v>
      </c>
      <c r="G38" s="200" t="s">
        <v>525</v>
      </c>
      <c r="H38" s="40" t="s">
        <v>757</v>
      </c>
      <c r="I38" s="381">
        <v>17060</v>
      </c>
      <c r="J38" s="381">
        <v>17060</v>
      </c>
      <c r="K38" s="388">
        <v>17900</v>
      </c>
      <c r="L38" s="243">
        <v>0</v>
      </c>
      <c r="M38" s="263">
        <f t="shared" ref="M38:M39" si="15">SUM(K38:L38)</f>
        <v>17900</v>
      </c>
      <c r="N38" s="218">
        <f t="shared" si="1"/>
        <v>104.92379835873389</v>
      </c>
    </row>
    <row r="39" spans="1:16" ht="12.95" customHeight="1">
      <c r="B39" s="10"/>
      <c r="C39" s="11"/>
      <c r="D39" s="11"/>
      <c r="E39" s="385"/>
      <c r="F39" s="191">
        <v>616200</v>
      </c>
      <c r="G39" s="200" t="s">
        <v>526</v>
      </c>
      <c r="H39" s="40" t="s">
        <v>758</v>
      </c>
      <c r="I39" s="381">
        <v>17720</v>
      </c>
      <c r="J39" s="381">
        <v>17720</v>
      </c>
      <c r="K39" s="388">
        <v>12530</v>
      </c>
      <c r="L39" s="243">
        <v>0</v>
      </c>
      <c r="M39" s="263">
        <f t="shared" si="15"/>
        <v>12530</v>
      </c>
      <c r="N39" s="218">
        <f t="shared" si="1"/>
        <v>70.711060948081268</v>
      </c>
    </row>
    <row r="40" spans="1:16" ht="12.95" customHeight="1">
      <c r="B40" s="10"/>
      <c r="C40" s="11"/>
      <c r="D40" s="11"/>
      <c r="E40" s="170"/>
      <c r="F40" s="184"/>
      <c r="G40" s="203"/>
      <c r="H40" s="11"/>
      <c r="I40" s="380"/>
      <c r="J40" s="380"/>
      <c r="K40" s="532"/>
      <c r="L40" s="244"/>
      <c r="M40" s="264"/>
      <c r="N40" s="218" t="str">
        <f t="shared" si="1"/>
        <v/>
      </c>
    </row>
    <row r="41" spans="1:16" ht="12.95" customHeight="1">
      <c r="B41" s="12"/>
      <c r="C41" s="8"/>
      <c r="D41" s="8"/>
      <c r="E41" s="8"/>
      <c r="F41" s="183">
        <v>821000</v>
      </c>
      <c r="G41" s="202"/>
      <c r="H41" s="8" t="s">
        <v>89</v>
      </c>
      <c r="I41" s="380">
        <f t="shared" ref="I41" si="16">SUM(I42:I43)</f>
        <v>4000</v>
      </c>
      <c r="J41" s="380">
        <f t="shared" ref="J41" si="17">SUM(J42:J43)</f>
        <v>4000</v>
      </c>
      <c r="K41" s="532">
        <f>SUM(K42:K43)</f>
        <v>10000</v>
      </c>
      <c r="L41" s="244">
        <f>SUM(L42:L43)</f>
        <v>0</v>
      </c>
      <c r="M41" s="264">
        <f>SUM(M42:M43)</f>
        <v>10000</v>
      </c>
      <c r="N41" s="217">
        <f t="shared" si="1"/>
        <v>250</v>
      </c>
    </row>
    <row r="42" spans="1:16" ht="12.95" customHeight="1">
      <c r="B42" s="10"/>
      <c r="C42" s="11"/>
      <c r="D42" s="11"/>
      <c r="E42" s="170"/>
      <c r="F42" s="184">
        <v>821200</v>
      </c>
      <c r="G42" s="203"/>
      <c r="H42" s="11" t="s">
        <v>90</v>
      </c>
      <c r="I42" s="381">
        <v>0</v>
      </c>
      <c r="J42" s="381">
        <v>0</v>
      </c>
      <c r="K42" s="391">
        <v>0</v>
      </c>
      <c r="L42" s="245">
        <v>0</v>
      </c>
      <c r="M42" s="263">
        <f t="shared" ref="M42:M43" si="18">SUM(K42:L42)</f>
        <v>0</v>
      </c>
      <c r="N42" s="218" t="str">
        <f t="shared" si="1"/>
        <v/>
      </c>
    </row>
    <row r="43" spans="1:16" s="1" customFormat="1" ht="12.95" customHeight="1">
      <c r="A43" s="165"/>
      <c r="B43" s="10"/>
      <c r="C43" s="11"/>
      <c r="D43" s="11"/>
      <c r="E43" s="170"/>
      <c r="F43" s="184">
        <v>821300</v>
      </c>
      <c r="G43" s="203"/>
      <c r="H43" s="11" t="s">
        <v>91</v>
      </c>
      <c r="I43" s="381">
        <v>4000</v>
      </c>
      <c r="J43" s="381">
        <v>4000</v>
      </c>
      <c r="K43" s="391">
        <v>10000</v>
      </c>
      <c r="L43" s="245">
        <v>0</v>
      </c>
      <c r="M43" s="263">
        <f t="shared" si="18"/>
        <v>10000</v>
      </c>
      <c r="N43" s="218">
        <f t="shared" si="1"/>
        <v>250</v>
      </c>
    </row>
    <row r="44" spans="1:16" ht="12.95" customHeight="1">
      <c r="B44" s="10"/>
      <c r="C44" s="11"/>
      <c r="D44" s="11"/>
      <c r="E44" s="170"/>
      <c r="F44" s="184"/>
      <c r="G44" s="203"/>
      <c r="H44" s="11"/>
      <c r="I44" s="381"/>
      <c r="J44" s="381"/>
      <c r="K44" s="388"/>
      <c r="L44" s="243"/>
      <c r="M44" s="263"/>
      <c r="N44" s="218" t="str">
        <f t="shared" si="1"/>
        <v/>
      </c>
    </row>
    <row r="45" spans="1:16" ht="12.95" customHeight="1">
      <c r="B45" s="12"/>
      <c r="C45" s="8"/>
      <c r="D45" s="8"/>
      <c r="E45" s="8"/>
      <c r="F45" s="183">
        <v>823000</v>
      </c>
      <c r="G45" s="202"/>
      <c r="H45" s="8" t="s">
        <v>178</v>
      </c>
      <c r="I45" s="380">
        <f t="shared" ref="I45" si="19">SUM(I46:I47)</f>
        <v>512970</v>
      </c>
      <c r="J45" s="380">
        <f t="shared" ref="J45" si="20">SUM(J46:J47)</f>
        <v>512970</v>
      </c>
      <c r="K45" s="532">
        <f>SUM(K46:K47)</f>
        <v>518890</v>
      </c>
      <c r="L45" s="244">
        <f>SUM(L46:L47)</f>
        <v>0</v>
      </c>
      <c r="M45" s="264">
        <f>SUM(M46:M47)</f>
        <v>518890</v>
      </c>
      <c r="N45" s="217">
        <f t="shared" si="1"/>
        <v>101.15406359046337</v>
      </c>
    </row>
    <row r="46" spans="1:16" ht="12.95" customHeight="1">
      <c r="B46" s="10"/>
      <c r="C46" s="11"/>
      <c r="D46" s="11"/>
      <c r="E46" s="170"/>
      <c r="F46" s="184">
        <v>823200</v>
      </c>
      <c r="G46" s="203" t="s">
        <v>525</v>
      </c>
      <c r="H46" s="499" t="s">
        <v>759</v>
      </c>
      <c r="I46" s="381">
        <v>82680</v>
      </c>
      <c r="J46" s="381">
        <v>82680</v>
      </c>
      <c r="K46" s="391">
        <v>88600</v>
      </c>
      <c r="L46" s="245">
        <v>0</v>
      </c>
      <c r="M46" s="263">
        <f t="shared" ref="M46:M47" si="21">SUM(K46:L46)</f>
        <v>88600</v>
      </c>
      <c r="N46" s="218">
        <f t="shared" si="1"/>
        <v>107.16013546202225</v>
      </c>
    </row>
    <row r="47" spans="1:16" ht="12.95" customHeight="1">
      <c r="B47" s="10"/>
      <c r="C47" s="11"/>
      <c r="D47" s="11"/>
      <c r="E47" s="170"/>
      <c r="F47" s="184">
        <v>823200</v>
      </c>
      <c r="G47" s="203" t="s">
        <v>526</v>
      </c>
      <c r="H47" s="499" t="s">
        <v>760</v>
      </c>
      <c r="I47" s="381">
        <v>430290</v>
      </c>
      <c r="J47" s="381">
        <v>430290</v>
      </c>
      <c r="K47" s="391">
        <v>430290</v>
      </c>
      <c r="L47" s="245">
        <v>0</v>
      </c>
      <c r="M47" s="263">
        <f t="shared" si="21"/>
        <v>430290</v>
      </c>
      <c r="N47" s="218">
        <f t="shared" si="1"/>
        <v>100</v>
      </c>
    </row>
    <row r="48" spans="1:16" ht="12.95" customHeight="1">
      <c r="B48" s="10"/>
      <c r="C48" s="11"/>
      <c r="D48" s="11"/>
      <c r="E48" s="170"/>
      <c r="F48" s="184"/>
      <c r="G48" s="203"/>
      <c r="H48" s="11"/>
      <c r="I48" s="395"/>
      <c r="J48" s="395"/>
      <c r="K48" s="492"/>
      <c r="L48" s="435"/>
      <c r="M48" s="274"/>
      <c r="N48" s="218" t="str">
        <f t="shared" si="1"/>
        <v/>
      </c>
    </row>
    <row r="49" spans="1:14" ht="12.95" customHeight="1">
      <c r="B49" s="12"/>
      <c r="C49" s="8"/>
      <c r="D49" s="8"/>
      <c r="E49" s="8"/>
      <c r="F49" s="183"/>
      <c r="G49" s="202"/>
      <c r="H49" s="8" t="s">
        <v>92</v>
      </c>
      <c r="I49" s="523">
        <v>15</v>
      </c>
      <c r="J49" s="523">
        <v>15</v>
      </c>
      <c r="K49" s="549">
        <v>16</v>
      </c>
      <c r="L49" s="550"/>
      <c r="M49" s="445">
        <v>16</v>
      </c>
      <c r="N49" s="218"/>
    </row>
    <row r="50" spans="1:14" ht="12.95" customHeight="1">
      <c r="B50" s="12"/>
      <c r="C50" s="8"/>
      <c r="D50" s="8"/>
      <c r="E50" s="8"/>
      <c r="F50" s="183"/>
      <c r="G50" s="202"/>
      <c r="H50" s="8" t="s">
        <v>106</v>
      </c>
      <c r="I50" s="398">
        <f t="shared" ref="I50:M50" si="22">I8+I11+I16+I19+I32+I37+I41+I45</f>
        <v>2365270</v>
      </c>
      <c r="J50" s="398">
        <f t="shared" ref="J50" si="23">J8+J11+J16+J19+J32+J37+J41+J45</f>
        <v>2365270</v>
      </c>
      <c r="K50" s="401">
        <f t="shared" si="22"/>
        <v>1941680</v>
      </c>
      <c r="L50" s="172">
        <f t="shared" si="22"/>
        <v>0</v>
      </c>
      <c r="M50" s="264">
        <f t="shared" si="22"/>
        <v>1941680</v>
      </c>
      <c r="N50" s="217">
        <f>IF(J50=0,"",M50/J50*100)</f>
        <v>82.091262308319983</v>
      </c>
    </row>
    <row r="51" spans="1:14" s="1" customFormat="1" ht="12.95" customHeight="1">
      <c r="A51" s="165"/>
      <c r="B51" s="12"/>
      <c r="C51" s="8"/>
      <c r="D51" s="8"/>
      <c r="E51" s="8"/>
      <c r="F51" s="183"/>
      <c r="G51" s="202"/>
      <c r="H51" s="8" t="s">
        <v>93</v>
      </c>
      <c r="I51" s="398">
        <f>I50</f>
        <v>2365270</v>
      </c>
      <c r="J51" s="172">
        <f>J50</f>
        <v>2365270</v>
      </c>
      <c r="K51" s="401">
        <f t="shared" ref="K51:M52" si="24">K50</f>
        <v>1941680</v>
      </c>
      <c r="L51" s="172">
        <f t="shared" si="24"/>
        <v>0</v>
      </c>
      <c r="M51" s="264">
        <f t="shared" si="24"/>
        <v>1941680</v>
      </c>
      <c r="N51" s="217">
        <f>IF(J51=0,"",M51/J51*100)</f>
        <v>82.091262308319983</v>
      </c>
    </row>
    <row r="52" spans="1:14" s="1" customFormat="1" ht="12.95" customHeight="1">
      <c r="A52" s="165"/>
      <c r="B52" s="12"/>
      <c r="C52" s="8"/>
      <c r="D52" s="8"/>
      <c r="E52" s="8"/>
      <c r="F52" s="183"/>
      <c r="G52" s="202"/>
      <c r="H52" s="8" t="s">
        <v>94</v>
      </c>
      <c r="I52" s="398">
        <f>I51</f>
        <v>2365270</v>
      </c>
      <c r="J52" s="172">
        <f>J51</f>
        <v>2365270</v>
      </c>
      <c r="K52" s="401">
        <f t="shared" si="24"/>
        <v>1941680</v>
      </c>
      <c r="L52" s="172">
        <f t="shared" si="24"/>
        <v>0</v>
      </c>
      <c r="M52" s="264">
        <f t="shared" si="24"/>
        <v>1941680</v>
      </c>
      <c r="N52" s="217">
        <f>IF(J52=0,"",M52/J52*100)</f>
        <v>82.091262308319983</v>
      </c>
    </row>
    <row r="53" spans="1:14" s="1" customFormat="1" ht="12.95" customHeight="1" thickBot="1">
      <c r="A53" s="165"/>
      <c r="B53" s="16"/>
      <c r="C53" s="17"/>
      <c r="D53" s="17"/>
      <c r="E53" s="17"/>
      <c r="F53" s="185"/>
      <c r="G53" s="204"/>
      <c r="H53" s="17"/>
      <c r="I53" s="17"/>
      <c r="J53" s="17"/>
      <c r="K53" s="16"/>
      <c r="L53" s="17"/>
      <c r="M53" s="271"/>
      <c r="N53" s="220"/>
    </row>
    <row r="54" spans="1:14" s="1" customFormat="1" ht="12.95" customHeight="1">
      <c r="A54" s="165"/>
      <c r="B54" s="9"/>
      <c r="C54" s="9"/>
      <c r="D54" s="9"/>
      <c r="E54" s="168"/>
      <c r="F54" s="186"/>
      <c r="G54" s="205"/>
      <c r="H54" s="9"/>
      <c r="I54" s="9"/>
      <c r="J54" s="9"/>
      <c r="K54" s="168"/>
      <c r="L54" s="168"/>
      <c r="M54" s="268"/>
      <c r="N54" s="221"/>
    </row>
    <row r="55" spans="1:14" ht="12.95" customHeight="1">
      <c r="F55" s="186"/>
      <c r="G55" s="205"/>
      <c r="K55" s="51"/>
      <c r="M55" s="268"/>
    </row>
    <row r="56" spans="1:14" ht="12.95" customHeight="1">
      <c r="F56" s="186"/>
      <c r="G56" s="205"/>
      <c r="M56" s="268"/>
    </row>
    <row r="57" spans="1:14" ht="12.95" customHeight="1">
      <c r="F57" s="186"/>
      <c r="G57" s="205"/>
      <c r="M57" s="268"/>
    </row>
    <row r="58" spans="1:14" ht="12.95" customHeight="1">
      <c r="F58" s="186"/>
      <c r="G58" s="205"/>
      <c r="M58" s="268"/>
    </row>
    <row r="59" spans="1:14" ht="12.95" customHeight="1">
      <c r="F59" s="186"/>
      <c r="G59" s="205"/>
      <c r="M59" s="268"/>
    </row>
    <row r="60" spans="1:14" ht="17.100000000000001" customHeight="1">
      <c r="F60" s="186"/>
      <c r="G60" s="205"/>
      <c r="M60" s="268"/>
    </row>
    <row r="61" spans="1:14" ht="14.25">
      <c r="F61" s="186"/>
      <c r="G61" s="205"/>
      <c r="M61" s="268"/>
    </row>
    <row r="62" spans="1:14" ht="14.25">
      <c r="F62" s="186"/>
      <c r="G62" s="205"/>
      <c r="M62" s="268"/>
    </row>
    <row r="63" spans="1:14" ht="14.25">
      <c r="F63" s="186"/>
      <c r="G63" s="205"/>
      <c r="M63" s="268"/>
    </row>
    <row r="64" spans="1:14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0"/>
  <dimension ref="A1:P96"/>
  <sheetViews>
    <sheetView zoomScaleSheetLayoutView="13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661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124</v>
      </c>
      <c r="C7" s="7" t="s">
        <v>80</v>
      </c>
      <c r="D7" s="7" t="s">
        <v>81</v>
      </c>
      <c r="E7" s="459" t="s">
        <v>731</v>
      </c>
      <c r="F7" s="5"/>
      <c r="G7" s="167"/>
      <c r="H7" s="5"/>
      <c r="I7" s="5"/>
      <c r="J7" s="5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288160</v>
      </c>
      <c r="J8" s="244">
        <f t="shared" ref="J8" si="1">SUM(J9:J12)</f>
        <v>288160</v>
      </c>
      <c r="K8" s="532">
        <f>SUM(K9:K12)</f>
        <v>320500</v>
      </c>
      <c r="L8" s="244">
        <f>SUM(L9:L12)</f>
        <v>0</v>
      </c>
      <c r="M8" s="261">
        <f>SUM(M9:M12)</f>
        <v>320500</v>
      </c>
      <c r="N8" s="217">
        <f t="shared" ref="N8:N37" si="2">IF(J8=0,"",M8/J8*100)</f>
        <v>111.22293170460856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251380</v>
      </c>
      <c r="J9" s="243">
        <v>251380</v>
      </c>
      <c r="K9" s="388">
        <f>282740+1000</f>
        <v>283740</v>
      </c>
      <c r="L9" s="243">
        <v>0</v>
      </c>
      <c r="M9" s="262">
        <f>SUM(K9:L9)</f>
        <v>283740</v>
      </c>
      <c r="N9" s="218">
        <f t="shared" si="2"/>
        <v>112.87294136367252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3">
        <v>36780</v>
      </c>
      <c r="J10" s="243">
        <v>36780</v>
      </c>
      <c r="K10" s="388">
        <f>36160+600</f>
        <v>36760</v>
      </c>
      <c r="L10" s="243">
        <v>0</v>
      </c>
      <c r="M10" s="262">
        <f t="shared" ref="M10:M11" si="3">SUM(K10:L10)</f>
        <v>36760</v>
      </c>
      <c r="N10" s="218">
        <f t="shared" si="2"/>
        <v>99.945622620989667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3"/>
      <c r="J12" s="243"/>
      <c r="K12" s="388"/>
      <c r="L12" s="243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26250</v>
      </c>
      <c r="J13" s="244">
        <f t="shared" si="4"/>
        <v>26250</v>
      </c>
      <c r="K13" s="532">
        <f>K14</f>
        <v>26940</v>
      </c>
      <c r="L13" s="244">
        <f>L14</f>
        <v>0</v>
      </c>
      <c r="M13" s="261">
        <f>M14</f>
        <v>26940</v>
      </c>
      <c r="N13" s="217">
        <f t="shared" si="2"/>
        <v>102.62857142857142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26250</v>
      </c>
      <c r="J14" s="243">
        <v>26250</v>
      </c>
      <c r="K14" s="388">
        <f>26440+500</f>
        <v>26940</v>
      </c>
      <c r="L14" s="243">
        <v>0</v>
      </c>
      <c r="M14" s="262">
        <f>SUM(K14:L14)</f>
        <v>26940</v>
      </c>
      <c r="N14" s="218">
        <f t="shared" si="2"/>
        <v>102.62857142857142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39"/>
      <c r="J15" s="239"/>
      <c r="K15" s="389"/>
      <c r="L15" s="239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63900</v>
      </c>
      <c r="J16" s="242">
        <f t="shared" ref="J16" si="6">SUM(J17:J26)</f>
        <v>63900</v>
      </c>
      <c r="K16" s="533">
        <f>SUM(K17:K26)</f>
        <v>69100</v>
      </c>
      <c r="L16" s="242">
        <f>SUM(L17:L26)</f>
        <v>0</v>
      </c>
      <c r="M16" s="264">
        <f>SUM(M17:M26)</f>
        <v>69100</v>
      </c>
      <c r="N16" s="217">
        <f t="shared" si="2"/>
        <v>108.13771517996871</v>
      </c>
      <c r="P16" s="52"/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3">
        <v>2000</v>
      </c>
      <c r="J17" s="243">
        <v>2000</v>
      </c>
      <c r="K17" s="389">
        <v>2000</v>
      </c>
      <c r="L17" s="239">
        <v>0</v>
      </c>
      <c r="M17" s="262">
        <f t="shared" ref="M17:M26" si="7">SUM(K17:L17)</f>
        <v>2000</v>
      </c>
      <c r="N17" s="218">
        <f t="shared" si="2"/>
        <v>100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3">
        <v>0</v>
      </c>
      <c r="J18" s="243">
        <v>0</v>
      </c>
      <c r="K18" s="389">
        <v>0</v>
      </c>
      <c r="L18" s="239">
        <v>0</v>
      </c>
      <c r="M18" s="262">
        <f t="shared" si="7"/>
        <v>0</v>
      </c>
      <c r="N18" s="218" t="str">
        <f t="shared" si="2"/>
        <v/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3">
        <v>16000</v>
      </c>
      <c r="J19" s="243">
        <v>16000</v>
      </c>
      <c r="K19" s="389">
        <v>16500</v>
      </c>
      <c r="L19" s="239">
        <v>0</v>
      </c>
      <c r="M19" s="262">
        <f t="shared" si="7"/>
        <v>16500</v>
      </c>
      <c r="N19" s="218">
        <f t="shared" si="2"/>
        <v>103.125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3">
        <v>300</v>
      </c>
      <c r="J20" s="243">
        <v>300</v>
      </c>
      <c r="K20" s="388">
        <v>300</v>
      </c>
      <c r="L20" s="243">
        <v>0</v>
      </c>
      <c r="M20" s="262">
        <f t="shared" si="7"/>
        <v>300</v>
      </c>
      <c r="N20" s="218">
        <f t="shared" si="2"/>
        <v>100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3">
        <v>0</v>
      </c>
      <c r="J21" s="243">
        <v>0</v>
      </c>
      <c r="K21" s="388">
        <v>0</v>
      </c>
      <c r="L21" s="243">
        <v>0</v>
      </c>
      <c r="M21" s="262">
        <f t="shared" si="7"/>
        <v>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3">
        <v>0</v>
      </c>
      <c r="J22" s="243">
        <v>0</v>
      </c>
      <c r="K22" s="388">
        <v>0</v>
      </c>
      <c r="L22" s="243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3">
        <v>600</v>
      </c>
      <c r="J23" s="243">
        <v>600</v>
      </c>
      <c r="K23" s="388">
        <v>300</v>
      </c>
      <c r="L23" s="243">
        <v>0</v>
      </c>
      <c r="M23" s="262">
        <f t="shared" si="7"/>
        <v>300</v>
      </c>
      <c r="N23" s="218">
        <f t="shared" si="2"/>
        <v>50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3">
        <v>0</v>
      </c>
      <c r="J24" s="243">
        <v>0</v>
      </c>
      <c r="K24" s="388">
        <v>0</v>
      </c>
      <c r="L24" s="243">
        <v>0</v>
      </c>
      <c r="M24" s="262">
        <f t="shared" si="7"/>
        <v>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45000</v>
      </c>
      <c r="J25" s="245">
        <v>45000</v>
      </c>
      <c r="K25" s="391">
        <v>50000</v>
      </c>
      <c r="L25" s="245">
        <v>0</v>
      </c>
      <c r="M25" s="262">
        <f t="shared" si="7"/>
        <v>50000</v>
      </c>
      <c r="N25" s="218">
        <f t="shared" si="2"/>
        <v>111.11111111111111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3">
        <v>0</v>
      </c>
      <c r="J26" s="243">
        <v>0</v>
      </c>
      <c r="K26" s="388">
        <v>0</v>
      </c>
      <c r="L26" s="243">
        <v>0</v>
      </c>
      <c r="M26" s="262">
        <f t="shared" si="7"/>
        <v>0</v>
      </c>
      <c r="N26" s="218" t="str">
        <f t="shared" si="2"/>
        <v/>
      </c>
    </row>
    <row r="27" spans="1:14" ht="12.95" customHeight="1">
      <c r="B27" s="10"/>
      <c r="C27" s="11"/>
      <c r="D27" s="11"/>
      <c r="E27" s="170"/>
      <c r="F27" s="184"/>
      <c r="G27" s="203"/>
      <c r="H27" s="24"/>
      <c r="I27" s="244"/>
      <c r="J27" s="244"/>
      <c r="K27" s="532"/>
      <c r="L27" s="244"/>
      <c r="M27" s="264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614000</v>
      </c>
      <c r="G28" s="202"/>
      <c r="H28" s="25" t="s">
        <v>171</v>
      </c>
      <c r="I28" s="244">
        <f>SUM(I29:I32)</f>
        <v>4865000</v>
      </c>
      <c r="J28" s="244">
        <f>SUM(J29:J32)</f>
        <v>4865000</v>
      </c>
      <c r="K28" s="532">
        <f t="shared" ref="K28:L28" si="8">SUM(K29:K32)</f>
        <v>3334000</v>
      </c>
      <c r="L28" s="244">
        <f t="shared" si="8"/>
        <v>1231000</v>
      </c>
      <c r="M28" s="264">
        <f t="shared" ref="M28" si="9">SUM(M29:M32)</f>
        <v>4565000</v>
      </c>
      <c r="N28" s="217">
        <f t="shared" si="2"/>
        <v>93.833504624871537</v>
      </c>
    </row>
    <row r="29" spans="1:14" ht="12.95" customHeight="1">
      <c r="B29" s="10"/>
      <c r="C29" s="11"/>
      <c r="D29" s="24"/>
      <c r="E29" s="24"/>
      <c r="F29" s="184">
        <v>614100</v>
      </c>
      <c r="G29" s="203"/>
      <c r="H29" s="603" t="s">
        <v>879</v>
      </c>
      <c r="I29" s="245">
        <v>1400000</v>
      </c>
      <c r="J29" s="245">
        <v>1400000</v>
      </c>
      <c r="K29" s="391">
        <v>0</v>
      </c>
      <c r="L29" s="245">
        <v>1000000</v>
      </c>
      <c r="M29" s="262">
        <f t="shared" ref="M29:M31" si="10">SUM(K29:L29)</f>
        <v>1000000</v>
      </c>
      <c r="N29" s="218">
        <f t="shared" si="2"/>
        <v>71.428571428571431</v>
      </c>
    </row>
    <row r="30" spans="1:14" s="168" customFormat="1" ht="12.95" customHeight="1">
      <c r="B30" s="169"/>
      <c r="C30" s="170"/>
      <c r="D30" s="170"/>
      <c r="E30" s="170"/>
      <c r="F30" s="184">
        <v>614200</v>
      </c>
      <c r="G30" s="206" t="s">
        <v>621</v>
      </c>
      <c r="H30" s="482" t="s">
        <v>875</v>
      </c>
      <c r="I30" s="245">
        <v>55000</v>
      </c>
      <c r="J30" s="245">
        <v>55000</v>
      </c>
      <c r="K30" s="391">
        <v>55000</v>
      </c>
      <c r="L30" s="245">
        <v>0</v>
      </c>
      <c r="M30" s="262">
        <f t="shared" si="10"/>
        <v>55000</v>
      </c>
      <c r="N30" s="218">
        <f t="shared" si="2"/>
        <v>100</v>
      </c>
    </row>
    <row r="31" spans="1:14" s="168" customFormat="1" ht="12.95" customHeight="1">
      <c r="B31" s="169"/>
      <c r="C31" s="170"/>
      <c r="D31" s="170"/>
      <c r="E31" s="170"/>
      <c r="F31" s="184">
        <v>614200</v>
      </c>
      <c r="G31" s="206" t="s">
        <v>622</v>
      </c>
      <c r="H31" s="482" t="s">
        <v>876</v>
      </c>
      <c r="I31" s="245">
        <v>3315000</v>
      </c>
      <c r="J31" s="245">
        <v>3315000</v>
      </c>
      <c r="K31" s="391">
        <f>3410000-231000</f>
        <v>3179000</v>
      </c>
      <c r="L31" s="245">
        <v>231000</v>
      </c>
      <c r="M31" s="262">
        <f t="shared" si="10"/>
        <v>3410000</v>
      </c>
      <c r="N31" s="218">
        <f t="shared" si="2"/>
        <v>102.86576168929109</v>
      </c>
    </row>
    <row r="32" spans="1:14" s="168" customFormat="1" ht="12.95" customHeight="1">
      <c r="B32" s="169"/>
      <c r="C32" s="170"/>
      <c r="D32" s="170"/>
      <c r="E32" s="170"/>
      <c r="F32" s="184">
        <v>614300</v>
      </c>
      <c r="G32" s="206" t="s">
        <v>793</v>
      </c>
      <c r="H32" s="482" t="s">
        <v>788</v>
      </c>
      <c r="I32" s="245">
        <v>95000</v>
      </c>
      <c r="J32" s="245">
        <v>95000</v>
      </c>
      <c r="K32" s="391">
        <v>100000</v>
      </c>
      <c r="L32" s="245">
        <v>0</v>
      </c>
      <c r="M32" s="262">
        <f t="shared" ref="M32" si="11">SUM(K32:L32)</f>
        <v>100000</v>
      </c>
      <c r="N32" s="218">
        <f t="shared" si="2"/>
        <v>105.26315789473684</v>
      </c>
    </row>
    <row r="33" spans="1:15" ht="12.95" customHeight="1">
      <c r="B33" s="10"/>
      <c r="C33" s="11"/>
      <c r="D33" s="11"/>
      <c r="E33" s="170"/>
      <c r="F33" s="184"/>
      <c r="G33" s="203"/>
      <c r="H33" s="24"/>
      <c r="I33" s="243"/>
      <c r="J33" s="243"/>
      <c r="K33" s="388"/>
      <c r="L33" s="243"/>
      <c r="M33" s="263"/>
      <c r="N33" s="218" t="str">
        <f t="shared" si="2"/>
        <v/>
      </c>
    </row>
    <row r="34" spans="1:15" ht="12.95" customHeight="1">
      <c r="B34" s="12"/>
      <c r="C34" s="8"/>
      <c r="D34" s="8"/>
      <c r="E34" s="8"/>
      <c r="F34" s="183">
        <v>821000</v>
      </c>
      <c r="G34" s="202"/>
      <c r="H34" s="25" t="s">
        <v>89</v>
      </c>
      <c r="I34" s="244">
        <f t="shared" ref="I34" si="12">I35+I36</f>
        <v>1500</v>
      </c>
      <c r="J34" s="244">
        <f t="shared" ref="J34" si="13">J35+J36</f>
        <v>1500</v>
      </c>
      <c r="K34" s="532">
        <f>K35+K36</f>
        <v>1500</v>
      </c>
      <c r="L34" s="244">
        <f>L35+L36</f>
        <v>0</v>
      </c>
      <c r="M34" s="264">
        <f>M35+M36</f>
        <v>1500</v>
      </c>
      <c r="N34" s="217">
        <f t="shared" si="2"/>
        <v>100</v>
      </c>
    </row>
    <row r="35" spans="1:15" s="1" customFormat="1" ht="12.95" customHeight="1">
      <c r="A35" s="165"/>
      <c r="B35" s="10"/>
      <c r="C35" s="11"/>
      <c r="D35" s="11"/>
      <c r="E35" s="170"/>
      <c r="F35" s="184">
        <v>821200</v>
      </c>
      <c r="G35" s="203"/>
      <c r="H35" s="24" t="s">
        <v>90</v>
      </c>
      <c r="I35" s="243">
        <v>0</v>
      </c>
      <c r="J35" s="243">
        <v>0</v>
      </c>
      <c r="K35" s="388">
        <v>0</v>
      </c>
      <c r="L35" s="243">
        <v>0</v>
      </c>
      <c r="M35" s="262">
        <f t="shared" ref="M35:M36" si="14">SUM(K35:L35)</f>
        <v>0</v>
      </c>
      <c r="N35" s="218" t="str">
        <f t="shared" si="2"/>
        <v/>
      </c>
      <c r="O35" s="1" t="s">
        <v>146</v>
      </c>
    </row>
    <row r="36" spans="1:15" ht="12.95" customHeight="1">
      <c r="B36" s="10"/>
      <c r="C36" s="11"/>
      <c r="D36" s="11"/>
      <c r="E36" s="170"/>
      <c r="F36" s="184">
        <v>821300</v>
      </c>
      <c r="G36" s="203"/>
      <c r="H36" s="24" t="s">
        <v>91</v>
      </c>
      <c r="I36" s="243">
        <v>1500</v>
      </c>
      <c r="J36" s="243">
        <v>1500</v>
      </c>
      <c r="K36" s="388">
        <v>1500</v>
      </c>
      <c r="L36" s="243">
        <v>0</v>
      </c>
      <c r="M36" s="262">
        <f t="shared" si="14"/>
        <v>1500</v>
      </c>
      <c r="N36" s="218">
        <f t="shared" si="2"/>
        <v>100</v>
      </c>
    </row>
    <row r="37" spans="1:15" ht="12.95" customHeight="1">
      <c r="B37" s="10"/>
      <c r="C37" s="11"/>
      <c r="D37" s="11"/>
      <c r="E37" s="170"/>
      <c r="F37" s="184"/>
      <c r="G37" s="203"/>
      <c r="H37" s="24"/>
      <c r="I37" s="243"/>
      <c r="J37" s="243"/>
      <c r="K37" s="388"/>
      <c r="L37" s="243"/>
      <c r="M37" s="263"/>
      <c r="N37" s="218" t="str">
        <f t="shared" si="2"/>
        <v/>
      </c>
    </row>
    <row r="38" spans="1:15" ht="12.95" customHeight="1">
      <c r="B38" s="12"/>
      <c r="C38" s="8"/>
      <c r="D38" s="8"/>
      <c r="E38" s="8"/>
      <c r="F38" s="183"/>
      <c r="G38" s="202"/>
      <c r="H38" s="25" t="s">
        <v>92</v>
      </c>
      <c r="I38" s="408">
        <v>10</v>
      </c>
      <c r="J38" s="408">
        <v>10</v>
      </c>
      <c r="K38" s="535">
        <v>10</v>
      </c>
      <c r="L38" s="408"/>
      <c r="M38" s="266">
        <v>10</v>
      </c>
      <c r="N38" s="218"/>
    </row>
    <row r="39" spans="1:15" s="1" customFormat="1" ht="12.95" customHeight="1">
      <c r="A39" s="165"/>
      <c r="B39" s="12"/>
      <c r="C39" s="8"/>
      <c r="D39" s="8"/>
      <c r="E39" s="8"/>
      <c r="F39" s="183"/>
      <c r="G39" s="202"/>
      <c r="H39" s="8" t="s">
        <v>106</v>
      </c>
      <c r="I39" s="398">
        <f t="shared" ref="I39:M39" si="15">I8+I13+I16+I28+I34</f>
        <v>5244810</v>
      </c>
      <c r="J39" s="172">
        <f t="shared" si="15"/>
        <v>5244810</v>
      </c>
      <c r="K39" s="401">
        <f t="shared" si="15"/>
        <v>3752040</v>
      </c>
      <c r="L39" s="172">
        <f t="shared" si="15"/>
        <v>1231000</v>
      </c>
      <c r="M39" s="264">
        <f t="shared" si="15"/>
        <v>4983040</v>
      </c>
      <c r="N39" s="217">
        <f>IF(J39=0,"",M39/J39*100)</f>
        <v>95.008970773011796</v>
      </c>
    </row>
    <row r="40" spans="1:15" s="1" customFormat="1" ht="12.95" customHeight="1">
      <c r="A40" s="165"/>
      <c r="B40" s="12"/>
      <c r="C40" s="8"/>
      <c r="D40" s="8"/>
      <c r="E40" s="8"/>
      <c r="F40" s="183"/>
      <c r="G40" s="202"/>
      <c r="H40" s="8" t="s">
        <v>93</v>
      </c>
      <c r="I40" s="15">
        <f>I39</f>
        <v>5244810</v>
      </c>
      <c r="J40" s="15">
        <f>J39</f>
        <v>5244810</v>
      </c>
      <c r="K40" s="401">
        <f t="shared" ref="K40:M41" si="16">K39</f>
        <v>3752040</v>
      </c>
      <c r="L40" s="172">
        <f t="shared" si="16"/>
        <v>1231000</v>
      </c>
      <c r="M40" s="264">
        <f t="shared" si="16"/>
        <v>4983040</v>
      </c>
      <c r="N40" s="217">
        <f>IF(J40=0,"",M40/J40*100)</f>
        <v>95.008970773011796</v>
      </c>
    </row>
    <row r="41" spans="1:15" s="1" customFormat="1" ht="12.95" customHeight="1">
      <c r="A41" s="165"/>
      <c r="B41" s="12"/>
      <c r="C41" s="8"/>
      <c r="D41" s="8"/>
      <c r="E41" s="8"/>
      <c r="F41" s="183"/>
      <c r="G41" s="202"/>
      <c r="H41" s="8" t="s">
        <v>94</v>
      </c>
      <c r="I41" s="15">
        <f>I40</f>
        <v>5244810</v>
      </c>
      <c r="J41" s="15">
        <f>J40</f>
        <v>5244810</v>
      </c>
      <c r="K41" s="401">
        <f t="shared" si="16"/>
        <v>3752040</v>
      </c>
      <c r="L41" s="172">
        <f t="shared" si="16"/>
        <v>1231000</v>
      </c>
      <c r="M41" s="264">
        <f t="shared" si="16"/>
        <v>4983040</v>
      </c>
      <c r="N41" s="217">
        <f>IF(J41=0,"",M41/J41*100)</f>
        <v>95.008970773011796</v>
      </c>
    </row>
    <row r="42" spans="1:15" s="1" customFormat="1" ht="12.95" customHeight="1" thickBot="1">
      <c r="A42" s="165"/>
      <c r="B42" s="16"/>
      <c r="C42" s="17"/>
      <c r="D42" s="17"/>
      <c r="E42" s="17"/>
      <c r="F42" s="185"/>
      <c r="G42" s="204"/>
      <c r="H42" s="17"/>
      <c r="I42" s="17"/>
      <c r="J42" s="17"/>
      <c r="K42" s="16"/>
      <c r="L42" s="17"/>
      <c r="M42" s="271"/>
      <c r="N42" s="220"/>
    </row>
    <row r="43" spans="1:15" ht="12.95" customHeight="1">
      <c r="F43" s="186"/>
      <c r="G43" s="205"/>
      <c r="M43" s="268"/>
    </row>
    <row r="44" spans="1:15" ht="12.95" customHeight="1">
      <c r="F44" s="186"/>
      <c r="G44" s="205"/>
      <c r="M44" s="268"/>
    </row>
    <row r="45" spans="1:15" ht="12.95" customHeight="1">
      <c r="B45" s="45"/>
      <c r="F45" s="186"/>
      <c r="G45" s="205"/>
      <c r="M45" s="268"/>
    </row>
    <row r="46" spans="1:15" ht="12.95" customHeight="1">
      <c r="B46" s="45"/>
      <c r="F46" s="186"/>
      <c r="G46" s="205"/>
      <c r="M46" s="268"/>
    </row>
    <row r="47" spans="1:15" ht="12.95" customHeight="1">
      <c r="B47" s="45"/>
      <c r="F47" s="186"/>
      <c r="G47" s="205"/>
      <c r="M47" s="268"/>
    </row>
    <row r="48" spans="1:15" ht="12.95" customHeight="1">
      <c r="B48" s="45"/>
      <c r="F48" s="186"/>
      <c r="G48" s="205"/>
      <c r="M48" s="268"/>
    </row>
    <row r="49" spans="2:13" ht="12.95" customHeight="1">
      <c r="B49" s="45"/>
      <c r="F49" s="186"/>
      <c r="G49" s="205"/>
      <c r="M49" s="268"/>
    </row>
    <row r="50" spans="2:13" ht="12.95" customHeight="1">
      <c r="F50" s="186"/>
      <c r="G50" s="205"/>
      <c r="M50" s="268"/>
    </row>
    <row r="51" spans="2:13" ht="12.95" customHeight="1">
      <c r="F51" s="186"/>
      <c r="G51" s="205"/>
      <c r="M51" s="268"/>
    </row>
    <row r="52" spans="2:13" ht="12.95" customHeight="1">
      <c r="F52" s="186"/>
      <c r="G52" s="205"/>
      <c r="M52" s="268"/>
    </row>
    <row r="53" spans="2:13" ht="12.95" customHeight="1">
      <c r="F53" s="186"/>
      <c r="G53" s="205"/>
      <c r="M53" s="268"/>
    </row>
    <row r="54" spans="2:13" ht="12.95" customHeight="1">
      <c r="F54" s="186"/>
      <c r="G54" s="205"/>
      <c r="M54" s="268"/>
    </row>
    <row r="55" spans="2:13" ht="12.95" customHeight="1">
      <c r="F55" s="186"/>
      <c r="G55" s="205"/>
      <c r="M55" s="268"/>
    </row>
    <row r="56" spans="2:13" ht="12.95" customHeight="1">
      <c r="F56" s="186"/>
      <c r="G56" s="205"/>
      <c r="M56" s="268"/>
    </row>
    <row r="57" spans="2:13" ht="12.95" customHeight="1">
      <c r="F57" s="186"/>
      <c r="G57" s="205"/>
      <c r="M57" s="268"/>
    </row>
    <row r="58" spans="2:13" ht="12.95" customHeight="1">
      <c r="F58" s="186"/>
      <c r="G58" s="205"/>
      <c r="M58" s="268"/>
    </row>
    <row r="59" spans="2:13" ht="12.95" customHeight="1">
      <c r="F59" s="186"/>
      <c r="G59" s="205"/>
      <c r="M59" s="268"/>
    </row>
    <row r="60" spans="2:13" ht="17.100000000000001" customHeight="1">
      <c r="F60" s="186"/>
      <c r="G60" s="205"/>
      <c r="M60" s="268"/>
    </row>
    <row r="61" spans="2:13" ht="17.100000000000001" customHeight="1">
      <c r="F61" s="186"/>
      <c r="G61" s="205"/>
      <c r="M61" s="268"/>
    </row>
    <row r="62" spans="2:13" ht="17.100000000000001" customHeight="1">
      <c r="F62" s="186"/>
      <c r="G62" s="205"/>
      <c r="M62" s="268"/>
    </row>
    <row r="63" spans="2:13" ht="14.25">
      <c r="F63" s="186"/>
      <c r="G63" s="205"/>
      <c r="M63" s="268"/>
    </row>
    <row r="64" spans="2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1"/>
  <dimension ref="A1:P96"/>
  <sheetViews>
    <sheetView zoomScaleSheetLayoutView="10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662</v>
      </c>
      <c r="C2" s="877"/>
      <c r="D2" s="877"/>
      <c r="E2" s="877"/>
      <c r="F2" s="877"/>
      <c r="G2" s="877"/>
      <c r="H2" s="877"/>
      <c r="I2" s="877"/>
      <c r="J2" s="253"/>
      <c r="K2" s="254"/>
      <c r="L2" s="254"/>
      <c r="M2" s="254"/>
      <c r="N2" s="257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125</v>
      </c>
      <c r="C7" s="7" t="s">
        <v>80</v>
      </c>
      <c r="D7" s="7" t="s">
        <v>81</v>
      </c>
      <c r="E7" s="459" t="s">
        <v>729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SUM(I9:I12)</f>
        <v>242560</v>
      </c>
      <c r="J8" s="244">
        <f t="shared" si="0"/>
        <v>242560</v>
      </c>
      <c r="K8" s="532">
        <f>SUM(K9:K12)</f>
        <v>281650</v>
      </c>
      <c r="L8" s="244">
        <f>SUM(L9:L12)</f>
        <v>0</v>
      </c>
      <c r="M8" s="261">
        <f>SUM(M9:M12)</f>
        <v>281650</v>
      </c>
      <c r="N8" s="217">
        <f t="shared" ref="N8:N37" si="1">IF(J8=0,"",M8/J8*100)</f>
        <v>116.11560026385223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194430</v>
      </c>
      <c r="J9" s="245">
        <v>194430</v>
      </c>
      <c r="K9" s="391">
        <f>194970+1000+21*1600</f>
        <v>229570</v>
      </c>
      <c r="L9" s="245">
        <v>0</v>
      </c>
      <c r="M9" s="262">
        <f>SUM(K9:L9)</f>
        <v>229570</v>
      </c>
      <c r="N9" s="218">
        <f t="shared" si="1"/>
        <v>118.07334259116391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48130</v>
      </c>
      <c r="J10" s="245">
        <v>48130</v>
      </c>
      <c r="K10" s="391">
        <f>37250+600+2*500+13230</f>
        <v>52080</v>
      </c>
      <c r="L10" s="245">
        <v>0</v>
      </c>
      <c r="M10" s="262">
        <f t="shared" ref="M10:M11" si="2">SUM(K10:L10)</f>
        <v>52080</v>
      </c>
      <c r="N10" s="218">
        <f t="shared" si="1"/>
        <v>108.20693953874922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20500</v>
      </c>
      <c r="J13" s="244">
        <f t="shared" si="3"/>
        <v>20500</v>
      </c>
      <c r="K13" s="532">
        <f>K14</f>
        <v>24660</v>
      </c>
      <c r="L13" s="244">
        <f>L14</f>
        <v>0</v>
      </c>
      <c r="M13" s="261">
        <f>M14</f>
        <v>24660</v>
      </c>
      <c r="N13" s="217">
        <f t="shared" si="1"/>
        <v>120.29268292682926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20500</v>
      </c>
      <c r="J14" s="245">
        <v>20500</v>
      </c>
      <c r="K14" s="391">
        <f>20480+400+21*180</f>
        <v>24660</v>
      </c>
      <c r="L14" s="245">
        <v>0</v>
      </c>
      <c r="M14" s="262">
        <f>SUM(K14:L14)</f>
        <v>24660</v>
      </c>
      <c r="N14" s="218">
        <f t="shared" si="1"/>
        <v>120.29268292682926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4">SUM(I17:I27)</f>
        <v>274200</v>
      </c>
      <c r="J16" s="242">
        <f t="shared" ref="J16" si="5">SUM(J17:J27)</f>
        <v>274200</v>
      </c>
      <c r="K16" s="533">
        <f>SUM(K17:K27)</f>
        <v>33800</v>
      </c>
      <c r="L16" s="242">
        <f>SUM(L17:L27)</f>
        <v>350000</v>
      </c>
      <c r="M16" s="264">
        <f>SUM(M17:M27)</f>
        <v>383800</v>
      </c>
      <c r="N16" s="217">
        <f t="shared" si="1"/>
        <v>139.97082421590082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1700</v>
      </c>
      <c r="J17" s="245">
        <v>1700</v>
      </c>
      <c r="K17" s="390">
        <v>2300</v>
      </c>
      <c r="L17" s="241">
        <v>0</v>
      </c>
      <c r="M17" s="262">
        <f t="shared" ref="M17:M27" si="6">SUM(K17:L17)</f>
        <v>2300</v>
      </c>
      <c r="N17" s="218">
        <f t="shared" si="1"/>
        <v>135.29411764705884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0">
        <v>0</v>
      </c>
      <c r="L18" s="241">
        <v>0</v>
      </c>
      <c r="M18" s="262">
        <f t="shared" si="6"/>
        <v>0</v>
      </c>
      <c r="N18" s="218" t="str">
        <f t="shared" si="1"/>
        <v/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8000</v>
      </c>
      <c r="J19" s="245">
        <v>8000</v>
      </c>
      <c r="K19" s="390">
        <v>6000</v>
      </c>
      <c r="L19" s="241">
        <v>0</v>
      </c>
      <c r="M19" s="262">
        <f t="shared" si="6"/>
        <v>6000</v>
      </c>
      <c r="N19" s="218">
        <f t="shared" si="1"/>
        <v>75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0</v>
      </c>
      <c r="J20" s="245">
        <v>0</v>
      </c>
      <c r="K20" s="390">
        <v>0</v>
      </c>
      <c r="L20" s="241">
        <v>0</v>
      </c>
      <c r="M20" s="262">
        <f t="shared" si="6"/>
        <v>0</v>
      </c>
      <c r="N20" s="218" t="str">
        <f t="shared" si="1"/>
        <v/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1">
        <v>0</v>
      </c>
      <c r="L21" s="245">
        <v>0</v>
      </c>
      <c r="M21" s="262">
        <f t="shared" si="6"/>
        <v>0</v>
      </c>
      <c r="N21" s="218" t="str">
        <f t="shared" si="1"/>
        <v/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6"/>
        <v>0</v>
      </c>
      <c r="N22" s="218" t="str">
        <f t="shared" si="1"/>
        <v/>
      </c>
    </row>
    <row r="23" spans="1:15" ht="12.95" customHeight="1">
      <c r="B23" s="10"/>
      <c r="C23" s="11"/>
      <c r="D23" s="11"/>
      <c r="E23" s="455"/>
      <c r="F23" s="190">
        <v>613700</v>
      </c>
      <c r="G23" s="209"/>
      <c r="H23" s="24" t="s">
        <v>86</v>
      </c>
      <c r="I23" s="245">
        <v>2500</v>
      </c>
      <c r="J23" s="245">
        <v>2500</v>
      </c>
      <c r="K23" s="391">
        <v>1500</v>
      </c>
      <c r="L23" s="245">
        <v>0</v>
      </c>
      <c r="M23" s="262">
        <f t="shared" si="6"/>
        <v>1500</v>
      </c>
      <c r="N23" s="218">
        <f t="shared" si="1"/>
        <v>60</v>
      </c>
    </row>
    <row r="24" spans="1:15" ht="12.95" customHeight="1">
      <c r="B24" s="10"/>
      <c r="C24" s="11"/>
      <c r="D24" s="24"/>
      <c r="E24" s="24"/>
      <c r="F24" s="184">
        <v>613700</v>
      </c>
      <c r="G24" s="200" t="s">
        <v>527</v>
      </c>
      <c r="H24" s="501" t="s">
        <v>87</v>
      </c>
      <c r="I24" s="245">
        <v>230000</v>
      </c>
      <c r="J24" s="245">
        <v>230000</v>
      </c>
      <c r="K24" s="391">
        <v>0</v>
      </c>
      <c r="L24" s="245">
        <v>350000</v>
      </c>
      <c r="M24" s="262">
        <f t="shared" si="6"/>
        <v>350000</v>
      </c>
      <c r="N24" s="218">
        <f t="shared" si="1"/>
        <v>152.17391304347828</v>
      </c>
    </row>
    <row r="25" spans="1:15" ht="12.95" customHeight="1">
      <c r="B25" s="10"/>
      <c r="C25" s="11"/>
      <c r="D25" s="11"/>
      <c r="E25" s="454"/>
      <c r="F25" s="192">
        <v>613800</v>
      </c>
      <c r="G25" s="210"/>
      <c r="H25" s="24" t="s">
        <v>144</v>
      </c>
      <c r="I25" s="245">
        <v>0</v>
      </c>
      <c r="J25" s="245">
        <v>0</v>
      </c>
      <c r="K25" s="391">
        <v>0</v>
      </c>
      <c r="L25" s="245">
        <v>0</v>
      </c>
      <c r="M25" s="262">
        <f t="shared" si="6"/>
        <v>0</v>
      </c>
      <c r="N25" s="218" t="str">
        <f t="shared" si="1"/>
        <v/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24" t="s">
        <v>145</v>
      </c>
      <c r="I26" s="245">
        <v>32000</v>
      </c>
      <c r="J26" s="245">
        <v>32000</v>
      </c>
      <c r="K26" s="391">
        <v>24000</v>
      </c>
      <c r="L26" s="245">
        <v>0</v>
      </c>
      <c r="M26" s="262">
        <f t="shared" si="6"/>
        <v>24000</v>
      </c>
      <c r="N26" s="218">
        <f t="shared" si="1"/>
        <v>75</v>
      </c>
      <c r="O26" s="58"/>
    </row>
    <row r="27" spans="1:15" ht="12.95" customHeight="1">
      <c r="B27" s="10"/>
      <c r="C27" s="11"/>
      <c r="D27" s="11"/>
      <c r="E27" s="170"/>
      <c r="F27" s="184">
        <v>613900</v>
      </c>
      <c r="G27" s="203"/>
      <c r="H27" s="479" t="s">
        <v>447</v>
      </c>
      <c r="I27" s="245">
        <v>0</v>
      </c>
      <c r="J27" s="245">
        <v>0</v>
      </c>
      <c r="K27" s="391">
        <v>0</v>
      </c>
      <c r="L27" s="245">
        <v>0</v>
      </c>
      <c r="M27" s="262">
        <f t="shared" si="6"/>
        <v>0</v>
      </c>
      <c r="N27" s="218" t="str">
        <f t="shared" si="1"/>
        <v/>
      </c>
    </row>
    <row r="28" spans="1:15" ht="12.95" customHeight="1">
      <c r="B28" s="10"/>
      <c r="C28" s="11"/>
      <c r="D28" s="11"/>
      <c r="E28" s="170"/>
      <c r="F28" s="184"/>
      <c r="G28" s="203"/>
      <c r="H28" s="24"/>
      <c r="I28" s="245"/>
      <c r="J28" s="245"/>
      <c r="K28" s="391"/>
      <c r="L28" s="245"/>
      <c r="M28" s="263"/>
      <c r="N28" s="218" t="str">
        <f t="shared" si="1"/>
        <v/>
      </c>
    </row>
    <row r="29" spans="1:15" s="1" customFormat="1" ht="12.95" customHeight="1">
      <c r="A29" s="165"/>
      <c r="B29" s="12"/>
      <c r="C29" s="8"/>
      <c r="D29" s="8"/>
      <c r="E29" s="8"/>
      <c r="F29" s="183">
        <v>614000</v>
      </c>
      <c r="G29" s="202"/>
      <c r="H29" s="25" t="s">
        <v>171</v>
      </c>
      <c r="I29" s="244">
        <f t="shared" ref="I29:L29" si="7">SUM(I30:I30)</f>
        <v>300000</v>
      </c>
      <c r="J29" s="244">
        <f t="shared" si="7"/>
        <v>300000</v>
      </c>
      <c r="K29" s="532">
        <f t="shared" si="7"/>
        <v>0</v>
      </c>
      <c r="L29" s="244">
        <f t="shared" si="7"/>
        <v>280000</v>
      </c>
      <c r="M29" s="264">
        <f t="shared" ref="M29" si="8">SUM(M30:M30)</f>
        <v>280000</v>
      </c>
      <c r="N29" s="217">
        <f t="shared" si="1"/>
        <v>93.333333333333329</v>
      </c>
    </row>
    <row r="30" spans="1:15" ht="12.95" customHeight="1">
      <c r="B30" s="10"/>
      <c r="C30" s="11"/>
      <c r="D30" s="24"/>
      <c r="E30" s="456"/>
      <c r="F30" s="192">
        <v>614100</v>
      </c>
      <c r="G30" s="210" t="s">
        <v>528</v>
      </c>
      <c r="H30" s="502" t="s">
        <v>147</v>
      </c>
      <c r="I30" s="245">
        <v>300000</v>
      </c>
      <c r="J30" s="245">
        <v>300000</v>
      </c>
      <c r="K30" s="391">
        <v>0</v>
      </c>
      <c r="L30" s="245">
        <v>280000</v>
      </c>
      <c r="M30" s="262">
        <f t="shared" ref="M30" si="9">SUM(K30:L30)</f>
        <v>280000</v>
      </c>
      <c r="N30" s="218">
        <f t="shared" si="1"/>
        <v>93.333333333333329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5"/>
      <c r="J31" s="245"/>
      <c r="K31" s="391"/>
      <c r="L31" s="245"/>
      <c r="M31" s="263"/>
      <c r="N31" s="218" t="str">
        <f t="shared" si="1"/>
        <v/>
      </c>
    </row>
    <row r="32" spans="1:15" s="1" customFormat="1" ht="12.95" customHeight="1">
      <c r="A32" s="165"/>
      <c r="B32" s="12"/>
      <c r="C32" s="8"/>
      <c r="D32" s="8"/>
      <c r="E32" s="8"/>
      <c r="F32" s="183">
        <v>821000</v>
      </c>
      <c r="G32" s="202"/>
      <c r="H32" s="25" t="s">
        <v>89</v>
      </c>
      <c r="I32" s="244">
        <f t="shared" ref="I32:L32" si="10">SUM(I33:I36)</f>
        <v>1216000</v>
      </c>
      <c r="J32" s="244">
        <f t="shared" ref="J32" si="11">SUM(J33:J36)</f>
        <v>1216000</v>
      </c>
      <c r="K32" s="532">
        <f t="shared" si="10"/>
        <v>6000</v>
      </c>
      <c r="L32" s="244">
        <f t="shared" si="10"/>
        <v>1680000</v>
      </c>
      <c r="M32" s="264">
        <f t="shared" ref="M32" si="12">SUM(M33:M36)</f>
        <v>1686000</v>
      </c>
      <c r="N32" s="217">
        <f t="shared" si="1"/>
        <v>138.6513157894737</v>
      </c>
    </row>
    <row r="33" spans="1:16" ht="12.95" customHeight="1">
      <c r="B33" s="10"/>
      <c r="C33" s="11"/>
      <c r="D33" s="11"/>
      <c r="E33" s="170"/>
      <c r="F33" s="184">
        <v>821200</v>
      </c>
      <c r="G33" s="203"/>
      <c r="H33" s="24" t="s">
        <v>90</v>
      </c>
      <c r="I33" s="245">
        <v>0</v>
      </c>
      <c r="J33" s="245">
        <v>0</v>
      </c>
      <c r="K33" s="391">
        <v>0</v>
      </c>
      <c r="L33" s="245">
        <v>0</v>
      </c>
      <c r="M33" s="262">
        <f t="shared" ref="M33:M34" si="13">SUM(K33:L33)</f>
        <v>0</v>
      </c>
      <c r="N33" s="218" t="str">
        <f t="shared" si="1"/>
        <v/>
      </c>
    </row>
    <row r="34" spans="1:16" ht="12.95" customHeight="1">
      <c r="B34" s="10"/>
      <c r="C34" s="11"/>
      <c r="D34" s="11"/>
      <c r="E34" s="170"/>
      <c r="F34" s="184">
        <v>821300</v>
      </c>
      <c r="G34" s="203"/>
      <c r="H34" s="24" t="s">
        <v>91</v>
      </c>
      <c r="I34" s="245">
        <v>6000</v>
      </c>
      <c r="J34" s="245">
        <v>6000</v>
      </c>
      <c r="K34" s="391">
        <v>6000</v>
      </c>
      <c r="L34" s="245">
        <v>0</v>
      </c>
      <c r="M34" s="262">
        <f t="shared" si="13"/>
        <v>6000</v>
      </c>
      <c r="N34" s="218">
        <f t="shared" si="1"/>
        <v>100</v>
      </c>
    </row>
    <row r="35" spans="1:16" s="168" customFormat="1" ht="12.95" customHeight="1">
      <c r="B35" s="169"/>
      <c r="C35" s="170"/>
      <c r="D35" s="170"/>
      <c r="E35" s="170"/>
      <c r="F35" s="187">
        <v>821500</v>
      </c>
      <c r="G35" s="206" t="s">
        <v>637</v>
      </c>
      <c r="H35" s="482" t="s">
        <v>636</v>
      </c>
      <c r="I35" s="245">
        <v>990000</v>
      </c>
      <c r="J35" s="245">
        <v>990000</v>
      </c>
      <c r="K35" s="391">
        <v>0</v>
      </c>
      <c r="L35" s="245">
        <v>1330000</v>
      </c>
      <c r="M35" s="262">
        <f t="shared" ref="M35" si="14">SUM(K35:L35)</f>
        <v>1330000</v>
      </c>
      <c r="N35" s="218">
        <f t="shared" si="1"/>
        <v>134.34343434343435</v>
      </c>
      <c r="O35" s="441"/>
      <c r="P35" s="51"/>
    </row>
    <row r="36" spans="1:16" s="168" customFormat="1" ht="12.95" customHeight="1">
      <c r="B36" s="169"/>
      <c r="C36" s="170"/>
      <c r="D36" s="170"/>
      <c r="E36" s="170"/>
      <c r="F36" s="187">
        <v>821600</v>
      </c>
      <c r="G36" s="206" t="s">
        <v>638</v>
      </c>
      <c r="H36" s="482" t="s">
        <v>635</v>
      </c>
      <c r="I36" s="245">
        <v>220000</v>
      </c>
      <c r="J36" s="245">
        <v>220000</v>
      </c>
      <c r="K36" s="391">
        <v>0</v>
      </c>
      <c r="L36" s="245">
        <v>350000</v>
      </c>
      <c r="M36" s="262">
        <f t="shared" ref="M36" si="15">SUM(K36:L36)</f>
        <v>350000</v>
      </c>
      <c r="N36" s="218">
        <f t="shared" si="1"/>
        <v>159.09090909090909</v>
      </c>
      <c r="P36" s="51"/>
    </row>
    <row r="37" spans="1:16" ht="12.95" customHeight="1">
      <c r="B37" s="10"/>
      <c r="C37" s="11"/>
      <c r="D37" s="11"/>
      <c r="E37" s="170"/>
      <c r="F37" s="184"/>
      <c r="G37" s="203"/>
      <c r="H37" s="24"/>
      <c r="I37" s="244"/>
      <c r="J37" s="244"/>
      <c r="K37" s="532"/>
      <c r="L37" s="244"/>
      <c r="M37" s="264"/>
      <c r="N37" s="218" t="str">
        <f t="shared" si="1"/>
        <v/>
      </c>
    </row>
    <row r="38" spans="1:16" s="1" customFormat="1" ht="12.95" customHeight="1">
      <c r="A38" s="165"/>
      <c r="B38" s="12"/>
      <c r="C38" s="8"/>
      <c r="D38" s="8"/>
      <c r="E38" s="8"/>
      <c r="F38" s="183"/>
      <c r="G38" s="202"/>
      <c r="H38" s="25" t="s">
        <v>92</v>
      </c>
      <c r="I38" s="408" t="s">
        <v>814</v>
      </c>
      <c r="J38" s="408" t="s">
        <v>814</v>
      </c>
      <c r="K38" s="535">
        <v>10</v>
      </c>
      <c r="L38" s="244"/>
      <c r="M38" s="266">
        <v>10</v>
      </c>
      <c r="N38" s="218"/>
    </row>
    <row r="39" spans="1:16" s="1" customFormat="1" ht="12.95" customHeight="1">
      <c r="A39" s="165"/>
      <c r="B39" s="12"/>
      <c r="C39" s="8"/>
      <c r="D39" s="8"/>
      <c r="E39" s="8"/>
      <c r="F39" s="183"/>
      <c r="G39" s="202"/>
      <c r="H39" s="8" t="s">
        <v>106</v>
      </c>
      <c r="I39" s="398">
        <f t="shared" ref="I39:M39" si="16">I8+I13+I16+I29+I32</f>
        <v>2053260</v>
      </c>
      <c r="J39" s="172">
        <f t="shared" si="16"/>
        <v>2053260</v>
      </c>
      <c r="K39" s="401">
        <f t="shared" si="16"/>
        <v>346110</v>
      </c>
      <c r="L39" s="172">
        <f t="shared" si="16"/>
        <v>2310000</v>
      </c>
      <c r="M39" s="264">
        <f t="shared" si="16"/>
        <v>2656110</v>
      </c>
      <c r="N39" s="217">
        <f>IF(J39=0,"",M39/J39*100)</f>
        <v>129.36062651588207</v>
      </c>
    </row>
    <row r="40" spans="1:16" s="1" customFormat="1" ht="12.95" customHeight="1">
      <c r="A40" s="165"/>
      <c r="B40" s="12"/>
      <c r="C40" s="8"/>
      <c r="D40" s="8"/>
      <c r="E40" s="8"/>
      <c r="F40" s="183"/>
      <c r="G40" s="202"/>
      <c r="H40" s="8" t="s">
        <v>93</v>
      </c>
      <c r="I40" s="15">
        <f>I39</f>
        <v>2053260</v>
      </c>
      <c r="J40" s="15">
        <f>J39</f>
        <v>2053260</v>
      </c>
      <c r="K40" s="401">
        <f t="shared" ref="K40:M41" si="17">K39</f>
        <v>346110</v>
      </c>
      <c r="L40" s="172">
        <f t="shared" si="17"/>
        <v>2310000</v>
      </c>
      <c r="M40" s="264">
        <f t="shared" si="17"/>
        <v>2656110</v>
      </c>
      <c r="N40" s="217">
        <f>IF(J40=0,"",M40/J40*100)</f>
        <v>129.36062651588207</v>
      </c>
    </row>
    <row r="41" spans="1:16" s="1" customFormat="1" ht="12.95" customHeight="1">
      <c r="A41" s="165"/>
      <c r="B41" s="12"/>
      <c r="C41" s="8"/>
      <c r="D41" s="8"/>
      <c r="E41" s="8"/>
      <c r="F41" s="183"/>
      <c r="G41" s="202"/>
      <c r="H41" s="8" t="s">
        <v>94</v>
      </c>
      <c r="I41" s="15">
        <f>I40</f>
        <v>2053260</v>
      </c>
      <c r="J41" s="15">
        <f>J40</f>
        <v>2053260</v>
      </c>
      <c r="K41" s="401">
        <f t="shared" si="17"/>
        <v>346110</v>
      </c>
      <c r="L41" s="172">
        <f t="shared" si="17"/>
        <v>2310000</v>
      </c>
      <c r="M41" s="264">
        <f t="shared" si="17"/>
        <v>2656110</v>
      </c>
      <c r="N41" s="217">
        <f>IF(J41=0,"",M41/J41*100)</f>
        <v>129.36062651588207</v>
      </c>
    </row>
    <row r="42" spans="1:16" ht="12.95" customHeight="1" thickBot="1">
      <c r="B42" s="16"/>
      <c r="C42" s="17"/>
      <c r="D42" s="17"/>
      <c r="E42" s="17"/>
      <c r="F42" s="185"/>
      <c r="G42" s="204"/>
      <c r="H42" s="17"/>
      <c r="I42" s="31"/>
      <c r="J42" s="31"/>
      <c r="K42" s="402"/>
      <c r="L42" s="31"/>
      <c r="M42" s="267"/>
      <c r="N42" s="220"/>
    </row>
    <row r="43" spans="1:16" ht="12.95" customHeight="1">
      <c r="F43" s="186"/>
      <c r="G43" s="205"/>
      <c r="M43" s="270"/>
    </row>
    <row r="44" spans="1:16" ht="12.95" customHeight="1">
      <c r="B44" s="45"/>
      <c r="F44" s="186"/>
      <c r="G44" s="205"/>
      <c r="M44" s="270"/>
    </row>
    <row r="45" spans="1:16" ht="12.95" customHeight="1">
      <c r="B45" s="45"/>
      <c r="F45" s="186"/>
      <c r="G45" s="205"/>
      <c r="M45" s="270"/>
    </row>
    <row r="46" spans="1:16" ht="12.95" customHeight="1">
      <c r="B46" s="45"/>
      <c r="F46" s="186"/>
      <c r="G46" s="205"/>
      <c r="M46" s="270"/>
    </row>
    <row r="47" spans="1:16" ht="12.95" customHeight="1">
      <c r="F47" s="186"/>
      <c r="G47" s="205"/>
      <c r="M47" s="270"/>
    </row>
    <row r="48" spans="1:16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2"/>
  <dimension ref="A1:Q100"/>
  <sheetViews>
    <sheetView zoomScaleSheetLayoutView="10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663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126</v>
      </c>
      <c r="C7" s="7" t="s">
        <v>80</v>
      </c>
      <c r="D7" s="7" t="s">
        <v>81</v>
      </c>
      <c r="E7" s="459" t="s">
        <v>732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SUM(I9:I12)</f>
        <v>712450</v>
      </c>
      <c r="J8" s="244">
        <f t="shared" si="0"/>
        <v>712450</v>
      </c>
      <c r="K8" s="532">
        <f>SUM(K9:K12)</f>
        <v>761410</v>
      </c>
      <c r="L8" s="244">
        <f>SUM(L9:L12)</f>
        <v>0</v>
      </c>
      <c r="M8" s="261">
        <f>SUM(M9:M12)</f>
        <v>761410</v>
      </c>
      <c r="N8" s="217">
        <f t="shared" ref="N8:N41" si="1">IF(J8=0,"",M8/J8*100)</f>
        <v>106.87206119727702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594740</v>
      </c>
      <c r="J9" s="243">
        <v>594740</v>
      </c>
      <c r="K9" s="388">
        <f>620650+4000+1600*12</f>
        <v>643850</v>
      </c>
      <c r="L9" s="243">
        <v>0</v>
      </c>
      <c r="M9" s="262">
        <f>SUM(K9:L9)</f>
        <v>643850</v>
      </c>
      <c r="N9" s="218">
        <f t="shared" si="1"/>
        <v>108.25738978377106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38">
        <v>117710</v>
      </c>
      <c r="J10" s="238">
        <v>117710</v>
      </c>
      <c r="K10" s="392">
        <f>114560+3000</f>
        <v>117560</v>
      </c>
      <c r="L10" s="238">
        <v>0</v>
      </c>
      <c r="M10" s="262">
        <f t="shared" ref="M10:M11" si="2">SUM(K10:L10)</f>
        <v>117560</v>
      </c>
      <c r="N10" s="218">
        <f t="shared" si="1"/>
        <v>99.872568176025823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3"/>
      <c r="J12" s="243"/>
      <c r="K12" s="388"/>
      <c r="L12" s="243"/>
      <c r="M12" s="262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62890</v>
      </c>
      <c r="J13" s="244">
        <f t="shared" si="3"/>
        <v>62890</v>
      </c>
      <c r="K13" s="532">
        <f>K14</f>
        <v>68830</v>
      </c>
      <c r="L13" s="244">
        <f>L14</f>
        <v>0</v>
      </c>
      <c r="M13" s="261">
        <f>M14</f>
        <v>68830</v>
      </c>
      <c r="N13" s="217">
        <f t="shared" si="1"/>
        <v>109.44506280807759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62890</v>
      </c>
      <c r="J14" s="243">
        <v>62890</v>
      </c>
      <c r="K14" s="388">
        <f>65170+1500+180*12</f>
        <v>68830</v>
      </c>
      <c r="L14" s="243">
        <v>0</v>
      </c>
      <c r="M14" s="262">
        <f>SUM(K14:L14)</f>
        <v>68830</v>
      </c>
      <c r="N14" s="218">
        <f t="shared" si="1"/>
        <v>109.44506280807759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39"/>
      <c r="J15" s="239"/>
      <c r="K15" s="389"/>
      <c r="L15" s="239"/>
      <c r="M15" s="263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4">SUM(I17:I26)</f>
        <v>77400</v>
      </c>
      <c r="J16" s="242">
        <f t="shared" ref="J16" si="5">SUM(J17:J26)</f>
        <v>77400</v>
      </c>
      <c r="K16" s="533">
        <f>SUM(K17:K26)</f>
        <v>78850</v>
      </c>
      <c r="L16" s="242">
        <f>SUM(L17:L26)</f>
        <v>0</v>
      </c>
      <c r="M16" s="264">
        <f>SUM(M17:M26)</f>
        <v>78850</v>
      </c>
      <c r="N16" s="217">
        <f t="shared" si="1"/>
        <v>101.8733850129199</v>
      </c>
    </row>
    <row r="17" spans="1:17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3">
        <v>6500</v>
      </c>
      <c r="J17" s="243">
        <v>6500</v>
      </c>
      <c r="K17" s="388">
        <v>7300</v>
      </c>
      <c r="L17" s="243">
        <v>0</v>
      </c>
      <c r="M17" s="262">
        <f t="shared" ref="M17:M26" si="6">SUM(K17:L17)</f>
        <v>7300</v>
      </c>
      <c r="N17" s="218">
        <f t="shared" si="1"/>
        <v>112.30769230769231</v>
      </c>
    </row>
    <row r="18" spans="1:17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3">
        <v>1350</v>
      </c>
      <c r="J18" s="243">
        <v>1350</v>
      </c>
      <c r="K18" s="388">
        <v>1500</v>
      </c>
      <c r="L18" s="243">
        <v>0</v>
      </c>
      <c r="M18" s="262">
        <f t="shared" si="6"/>
        <v>1500</v>
      </c>
      <c r="N18" s="218">
        <f t="shared" si="1"/>
        <v>111.11111111111111</v>
      </c>
    </row>
    <row r="19" spans="1:17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3">
        <v>6500</v>
      </c>
      <c r="J19" s="243">
        <v>6500</v>
      </c>
      <c r="K19" s="388">
        <v>6500</v>
      </c>
      <c r="L19" s="243">
        <v>0</v>
      </c>
      <c r="M19" s="262">
        <f t="shared" si="6"/>
        <v>6500</v>
      </c>
      <c r="N19" s="218">
        <f t="shared" si="1"/>
        <v>100</v>
      </c>
    </row>
    <row r="20" spans="1:17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3">
        <v>4000</v>
      </c>
      <c r="J20" s="243">
        <v>4000</v>
      </c>
      <c r="K20" s="388">
        <v>3500</v>
      </c>
      <c r="L20" s="243">
        <v>0</v>
      </c>
      <c r="M20" s="262">
        <f t="shared" si="6"/>
        <v>3500</v>
      </c>
      <c r="N20" s="218">
        <f t="shared" si="1"/>
        <v>87.5</v>
      </c>
    </row>
    <row r="21" spans="1:17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3">
        <v>500</v>
      </c>
      <c r="J21" s="243">
        <v>500</v>
      </c>
      <c r="K21" s="388">
        <v>500</v>
      </c>
      <c r="L21" s="243">
        <v>0</v>
      </c>
      <c r="M21" s="262">
        <f t="shared" si="6"/>
        <v>500</v>
      </c>
      <c r="N21" s="218">
        <f t="shared" si="1"/>
        <v>100</v>
      </c>
    </row>
    <row r="22" spans="1:17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3">
        <v>5500</v>
      </c>
      <c r="J22" s="243">
        <v>5500</v>
      </c>
      <c r="K22" s="388">
        <v>5500</v>
      </c>
      <c r="L22" s="243">
        <v>0</v>
      </c>
      <c r="M22" s="262">
        <f t="shared" si="6"/>
        <v>5500</v>
      </c>
      <c r="N22" s="218">
        <f t="shared" si="1"/>
        <v>100</v>
      </c>
    </row>
    <row r="23" spans="1:17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3">
        <v>8000</v>
      </c>
      <c r="J23" s="243">
        <v>8000</v>
      </c>
      <c r="K23" s="388">
        <v>9000</v>
      </c>
      <c r="L23" s="243">
        <v>0</v>
      </c>
      <c r="M23" s="262">
        <f t="shared" si="6"/>
        <v>9000</v>
      </c>
      <c r="N23" s="218">
        <f t="shared" si="1"/>
        <v>112.5</v>
      </c>
    </row>
    <row r="24" spans="1:17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3">
        <v>50</v>
      </c>
      <c r="J24" s="243">
        <v>50</v>
      </c>
      <c r="K24" s="388">
        <v>50</v>
      </c>
      <c r="L24" s="243">
        <v>0</v>
      </c>
      <c r="M24" s="262">
        <f t="shared" si="6"/>
        <v>50</v>
      </c>
      <c r="N24" s="218">
        <f t="shared" si="1"/>
        <v>100</v>
      </c>
    </row>
    <row r="25" spans="1:17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3">
        <v>45000</v>
      </c>
      <c r="J25" s="243">
        <v>45000</v>
      </c>
      <c r="K25" s="388">
        <v>45000</v>
      </c>
      <c r="L25" s="243">
        <v>0</v>
      </c>
      <c r="M25" s="262">
        <f t="shared" si="6"/>
        <v>45000</v>
      </c>
      <c r="N25" s="218">
        <f t="shared" si="1"/>
        <v>100</v>
      </c>
      <c r="O25" s="58"/>
    </row>
    <row r="26" spans="1:17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3">
        <v>0</v>
      </c>
      <c r="J26" s="243">
        <v>0</v>
      </c>
      <c r="K26" s="388">
        <v>0</v>
      </c>
      <c r="L26" s="243">
        <v>0</v>
      </c>
      <c r="M26" s="262">
        <f t="shared" si="6"/>
        <v>0</v>
      </c>
      <c r="N26" s="218" t="str">
        <f t="shared" si="1"/>
        <v/>
      </c>
    </row>
    <row r="27" spans="1:17" ht="12.95" customHeight="1">
      <c r="B27" s="10"/>
      <c r="C27" s="11"/>
      <c r="D27" s="11"/>
      <c r="E27" s="170"/>
      <c r="F27" s="184"/>
      <c r="G27" s="203"/>
      <c r="H27" s="24"/>
      <c r="I27" s="244"/>
      <c r="J27" s="244"/>
      <c r="K27" s="532"/>
      <c r="L27" s="244"/>
      <c r="M27" s="264"/>
      <c r="N27" s="218" t="str">
        <f t="shared" si="1"/>
        <v/>
      </c>
    </row>
    <row r="28" spans="1:17" s="1" customFormat="1" ht="12.95" customHeight="1">
      <c r="A28" s="165"/>
      <c r="B28" s="12"/>
      <c r="C28" s="8"/>
      <c r="D28" s="8"/>
      <c r="E28" s="8"/>
      <c r="F28" s="183">
        <v>614000</v>
      </c>
      <c r="G28" s="202"/>
      <c r="H28" s="25" t="s">
        <v>171</v>
      </c>
      <c r="I28" s="244">
        <f t="shared" ref="I28:L28" si="7">SUM(I29:I32)</f>
        <v>1400000</v>
      </c>
      <c r="J28" s="244">
        <f t="shared" ref="J28" si="8">SUM(J29:J32)</f>
        <v>1400000</v>
      </c>
      <c r="K28" s="532">
        <f t="shared" si="7"/>
        <v>1300000</v>
      </c>
      <c r="L28" s="244">
        <f t="shared" si="7"/>
        <v>450000</v>
      </c>
      <c r="M28" s="264">
        <f t="shared" ref="M28" si="9">SUM(M29:M32)</f>
        <v>1750000</v>
      </c>
      <c r="N28" s="217">
        <f t="shared" si="1"/>
        <v>125</v>
      </c>
    </row>
    <row r="29" spans="1:17" s="1" customFormat="1" ht="12.95" customHeight="1">
      <c r="A29" s="165"/>
      <c r="B29" s="12"/>
      <c r="C29" s="8"/>
      <c r="D29" s="25"/>
      <c r="E29" s="25"/>
      <c r="F29" s="184">
        <v>614100</v>
      </c>
      <c r="G29" s="203" t="s">
        <v>530</v>
      </c>
      <c r="H29" s="476" t="s">
        <v>883</v>
      </c>
      <c r="I29" s="245">
        <v>100000</v>
      </c>
      <c r="J29" s="245">
        <v>100000</v>
      </c>
      <c r="K29" s="391">
        <v>0</v>
      </c>
      <c r="L29" s="245">
        <v>100000</v>
      </c>
      <c r="M29" s="262">
        <f t="shared" ref="M29:M32" si="10">SUM(K29:L29)</f>
        <v>100000</v>
      </c>
      <c r="N29" s="218">
        <f t="shared" si="1"/>
        <v>100</v>
      </c>
    </row>
    <row r="30" spans="1:17" ht="12.95" customHeight="1">
      <c r="B30" s="10"/>
      <c r="C30" s="11"/>
      <c r="D30" s="11"/>
      <c r="E30" s="170"/>
      <c r="F30" s="184">
        <v>614500</v>
      </c>
      <c r="G30" s="203" t="s">
        <v>529</v>
      </c>
      <c r="H30" s="497" t="s">
        <v>884</v>
      </c>
      <c r="I30" s="245">
        <v>1050000</v>
      </c>
      <c r="J30" s="245">
        <v>1050000</v>
      </c>
      <c r="K30" s="391">
        <v>1250000</v>
      </c>
      <c r="L30" s="245">
        <v>0</v>
      </c>
      <c r="M30" s="262">
        <f t="shared" si="10"/>
        <v>1250000</v>
      </c>
      <c r="N30" s="218">
        <f t="shared" si="1"/>
        <v>119.04761904761905</v>
      </c>
      <c r="P30" s="51"/>
    </row>
    <row r="31" spans="1:17" ht="12.95" customHeight="1">
      <c r="B31" s="10"/>
      <c r="C31" s="11"/>
      <c r="D31" s="11"/>
      <c r="E31" s="170"/>
      <c r="F31" s="187">
        <v>614500</v>
      </c>
      <c r="G31" s="203" t="s">
        <v>531</v>
      </c>
      <c r="H31" s="497" t="s">
        <v>885</v>
      </c>
      <c r="I31" s="245">
        <v>200000</v>
      </c>
      <c r="J31" s="245">
        <v>200000</v>
      </c>
      <c r="K31" s="391">
        <v>50000</v>
      </c>
      <c r="L31" s="245">
        <v>150000</v>
      </c>
      <c r="M31" s="262">
        <f t="shared" si="10"/>
        <v>200000</v>
      </c>
      <c r="N31" s="218">
        <f t="shared" si="1"/>
        <v>100</v>
      </c>
      <c r="P31" s="444"/>
      <c r="Q31" s="441"/>
    </row>
    <row r="32" spans="1:17" ht="12.95" customHeight="1">
      <c r="B32" s="10"/>
      <c r="C32" s="11"/>
      <c r="D32" s="11"/>
      <c r="E32" s="170"/>
      <c r="F32" s="187">
        <v>614500</v>
      </c>
      <c r="G32" s="203" t="s">
        <v>532</v>
      </c>
      <c r="H32" s="503" t="s">
        <v>323</v>
      </c>
      <c r="I32" s="245">
        <v>50000</v>
      </c>
      <c r="J32" s="245">
        <v>50000</v>
      </c>
      <c r="K32" s="391">
        <v>0</v>
      </c>
      <c r="L32" s="245">
        <v>200000</v>
      </c>
      <c r="M32" s="262">
        <f t="shared" si="10"/>
        <v>200000</v>
      </c>
      <c r="N32" s="218">
        <f t="shared" si="1"/>
        <v>400</v>
      </c>
      <c r="P32" s="60"/>
    </row>
    <row r="33" spans="1:16" s="168" customFormat="1" ht="12.95" customHeight="1">
      <c r="B33" s="169"/>
      <c r="C33" s="170"/>
      <c r="D33" s="170"/>
      <c r="E33" s="170"/>
      <c r="F33" s="184"/>
      <c r="G33" s="203"/>
      <c r="H33" s="24"/>
      <c r="I33" s="244"/>
      <c r="J33" s="244"/>
      <c r="K33" s="532"/>
      <c r="L33" s="244"/>
      <c r="M33" s="264"/>
      <c r="N33" s="218" t="str">
        <f t="shared" si="1"/>
        <v/>
      </c>
      <c r="P33" s="444"/>
    </row>
    <row r="34" spans="1:16" s="165" customFormat="1" ht="12.95" customHeight="1">
      <c r="B34" s="171"/>
      <c r="C34" s="8"/>
      <c r="D34" s="8"/>
      <c r="E34" s="8"/>
      <c r="F34" s="183">
        <v>615000</v>
      </c>
      <c r="G34" s="202"/>
      <c r="H34" s="25" t="s">
        <v>88</v>
      </c>
      <c r="I34" s="244">
        <f t="shared" ref="I34:L34" si="11">SUM(I35:I36)</f>
        <v>250000</v>
      </c>
      <c r="J34" s="244">
        <f t="shared" ref="J34" si="12">SUM(J35:J36)</f>
        <v>250000</v>
      </c>
      <c r="K34" s="532">
        <f t="shared" si="11"/>
        <v>150000</v>
      </c>
      <c r="L34" s="244">
        <f t="shared" si="11"/>
        <v>300000</v>
      </c>
      <c r="M34" s="264">
        <f t="shared" ref="M34" si="13">SUM(M35:M36)</f>
        <v>450000</v>
      </c>
      <c r="N34" s="217">
        <f t="shared" si="1"/>
        <v>180</v>
      </c>
    </row>
    <row r="35" spans="1:16" s="165" customFormat="1" ht="12.95" customHeight="1">
      <c r="B35" s="171"/>
      <c r="C35" s="8"/>
      <c r="D35" s="25"/>
      <c r="E35" s="25"/>
      <c r="F35" s="187">
        <v>615100</v>
      </c>
      <c r="G35" s="206" t="s">
        <v>746</v>
      </c>
      <c r="H35" s="476" t="s">
        <v>693</v>
      </c>
      <c r="I35" s="245">
        <v>150000</v>
      </c>
      <c r="J35" s="245">
        <v>150000</v>
      </c>
      <c r="K35" s="391">
        <v>150000</v>
      </c>
      <c r="L35" s="245">
        <v>150000</v>
      </c>
      <c r="M35" s="262">
        <f t="shared" ref="M35" si="14">SUM(K35:L35)</f>
        <v>300000</v>
      </c>
      <c r="N35" s="218">
        <f t="shared" si="1"/>
        <v>200</v>
      </c>
    </row>
    <row r="36" spans="1:16" s="165" customFormat="1" ht="12.95" customHeight="1">
      <c r="B36" s="171"/>
      <c r="C36" s="8"/>
      <c r="D36" s="25"/>
      <c r="E36" s="25"/>
      <c r="F36" s="187">
        <v>615100</v>
      </c>
      <c r="G36" s="206" t="s">
        <v>747</v>
      </c>
      <c r="H36" s="476" t="s">
        <v>689</v>
      </c>
      <c r="I36" s="245">
        <v>100000</v>
      </c>
      <c r="J36" s="245">
        <v>100000</v>
      </c>
      <c r="K36" s="391">
        <v>0</v>
      </c>
      <c r="L36" s="245">
        <v>150000</v>
      </c>
      <c r="M36" s="262">
        <f t="shared" ref="M36" si="15">SUM(K36:L36)</f>
        <v>150000</v>
      </c>
      <c r="N36" s="218">
        <f t="shared" si="1"/>
        <v>150</v>
      </c>
    </row>
    <row r="37" spans="1:16" ht="12.95" customHeight="1">
      <c r="B37" s="10"/>
      <c r="C37" s="11"/>
      <c r="D37" s="11"/>
      <c r="E37" s="170"/>
      <c r="F37" s="184"/>
      <c r="G37" s="203"/>
      <c r="H37" s="472"/>
      <c r="I37" s="243"/>
      <c r="J37" s="243"/>
      <c r="K37" s="388"/>
      <c r="L37" s="243"/>
      <c r="M37" s="263"/>
      <c r="N37" s="218" t="str">
        <f t="shared" si="1"/>
        <v/>
      </c>
    </row>
    <row r="38" spans="1:16" s="1" customFormat="1" ht="12.95" customHeight="1">
      <c r="A38" s="165"/>
      <c r="B38" s="12"/>
      <c r="C38" s="8"/>
      <c r="D38" s="8"/>
      <c r="E38" s="8"/>
      <c r="F38" s="183">
        <v>821000</v>
      </c>
      <c r="G38" s="202"/>
      <c r="H38" s="25" t="s">
        <v>89</v>
      </c>
      <c r="I38" s="244">
        <f t="shared" ref="I38" si="16">SUM(I39:I41)</f>
        <v>30000</v>
      </c>
      <c r="J38" s="244">
        <f t="shared" ref="J38" si="17">SUM(J39:J41)</f>
        <v>30000</v>
      </c>
      <c r="K38" s="532">
        <f>SUM(K39:K41)</f>
        <v>5000</v>
      </c>
      <c r="L38" s="244">
        <f>SUM(L39:L41)</f>
        <v>30000</v>
      </c>
      <c r="M38" s="264">
        <f>SUM(M39:M41)</f>
        <v>35000</v>
      </c>
      <c r="N38" s="217">
        <f t="shared" si="1"/>
        <v>116.66666666666667</v>
      </c>
    </row>
    <row r="39" spans="1:16" ht="12.95" customHeight="1">
      <c r="B39" s="10"/>
      <c r="C39" s="11"/>
      <c r="D39" s="11"/>
      <c r="E39" s="170"/>
      <c r="F39" s="184">
        <v>821200</v>
      </c>
      <c r="G39" s="203"/>
      <c r="H39" s="24" t="s">
        <v>90</v>
      </c>
      <c r="I39" s="243">
        <v>0</v>
      </c>
      <c r="J39" s="243">
        <v>0</v>
      </c>
      <c r="K39" s="388">
        <v>0</v>
      </c>
      <c r="L39" s="243">
        <v>0</v>
      </c>
      <c r="M39" s="262">
        <f t="shared" ref="M39:M40" si="18">SUM(K39:L39)</f>
        <v>0</v>
      </c>
      <c r="N39" s="218" t="str">
        <f t="shared" si="1"/>
        <v/>
      </c>
    </row>
    <row r="40" spans="1:16" ht="12.95" customHeight="1">
      <c r="B40" s="10"/>
      <c r="C40" s="11"/>
      <c r="D40" s="11"/>
      <c r="E40" s="170"/>
      <c r="F40" s="184">
        <v>821300</v>
      </c>
      <c r="G40" s="203"/>
      <c r="H40" s="24" t="s">
        <v>91</v>
      </c>
      <c r="I40" s="243">
        <v>30000</v>
      </c>
      <c r="J40" s="243">
        <v>30000</v>
      </c>
      <c r="K40" s="388">
        <v>5000</v>
      </c>
      <c r="L40" s="243">
        <v>30000</v>
      </c>
      <c r="M40" s="262">
        <f t="shared" si="18"/>
        <v>35000</v>
      </c>
      <c r="N40" s="218">
        <f t="shared" si="1"/>
        <v>116.66666666666667</v>
      </c>
    </row>
    <row r="41" spans="1:16" ht="12.95" customHeight="1">
      <c r="B41" s="10"/>
      <c r="C41" s="11"/>
      <c r="D41" s="11"/>
      <c r="E41" s="170"/>
      <c r="F41" s="184"/>
      <c r="G41" s="203"/>
      <c r="H41" s="472"/>
      <c r="I41" s="243"/>
      <c r="J41" s="243"/>
      <c r="K41" s="388"/>
      <c r="L41" s="243"/>
      <c r="M41" s="263"/>
      <c r="N41" s="218" t="str">
        <f t="shared" si="1"/>
        <v/>
      </c>
    </row>
    <row r="42" spans="1:16" s="1" customFormat="1" ht="12.95" customHeight="1">
      <c r="A42" s="165"/>
      <c r="B42" s="12"/>
      <c r="C42" s="8"/>
      <c r="D42" s="8"/>
      <c r="E42" s="8"/>
      <c r="F42" s="183"/>
      <c r="G42" s="202"/>
      <c r="H42" s="25" t="s">
        <v>92</v>
      </c>
      <c r="I42" s="434" t="s">
        <v>807</v>
      </c>
      <c r="J42" s="434" t="s">
        <v>807</v>
      </c>
      <c r="K42" s="548" t="s">
        <v>807</v>
      </c>
      <c r="L42" s="434"/>
      <c r="M42" s="266" t="s">
        <v>807</v>
      </c>
      <c r="N42" s="218"/>
    </row>
    <row r="43" spans="1:16" s="1" customFormat="1" ht="12.95" customHeight="1">
      <c r="A43" s="165"/>
      <c r="B43" s="12"/>
      <c r="C43" s="8"/>
      <c r="D43" s="8"/>
      <c r="E43" s="8"/>
      <c r="F43" s="183"/>
      <c r="G43" s="202"/>
      <c r="H43" s="8" t="s">
        <v>106</v>
      </c>
      <c r="I43" s="398">
        <f t="shared" ref="I43:M43" si="19">I8+I13+I16+I28+I34+I38</f>
        <v>2532740</v>
      </c>
      <c r="J43" s="172">
        <f t="shared" si="19"/>
        <v>2532740</v>
      </c>
      <c r="K43" s="401">
        <f t="shared" si="19"/>
        <v>2364090</v>
      </c>
      <c r="L43" s="172">
        <f t="shared" si="19"/>
        <v>780000</v>
      </c>
      <c r="M43" s="264">
        <f t="shared" si="19"/>
        <v>3144090</v>
      </c>
      <c r="N43" s="217">
        <f>IF(J43=0,"",M43/J43*100)</f>
        <v>124.13789019007085</v>
      </c>
    </row>
    <row r="44" spans="1:16" s="1" customFormat="1" ht="12.95" customHeight="1">
      <c r="A44" s="165"/>
      <c r="B44" s="12"/>
      <c r="C44" s="8"/>
      <c r="D44" s="8"/>
      <c r="E44" s="8"/>
      <c r="F44" s="183"/>
      <c r="G44" s="202"/>
      <c r="H44" s="8" t="s">
        <v>93</v>
      </c>
      <c r="I44" s="15">
        <f>I43</f>
        <v>2532740</v>
      </c>
      <c r="J44" s="15">
        <f>J43</f>
        <v>2532740</v>
      </c>
      <c r="K44" s="401">
        <f t="shared" ref="K44:M45" si="20">K43</f>
        <v>2364090</v>
      </c>
      <c r="L44" s="172">
        <f t="shared" si="20"/>
        <v>780000</v>
      </c>
      <c r="M44" s="264">
        <f t="shared" si="20"/>
        <v>3144090</v>
      </c>
      <c r="N44" s="217">
        <f>IF(J44=0,"",M44/J44*100)</f>
        <v>124.13789019007085</v>
      </c>
    </row>
    <row r="45" spans="1:16" s="1" customFormat="1" ht="12.95" customHeight="1">
      <c r="A45" s="165"/>
      <c r="B45" s="12"/>
      <c r="C45" s="8"/>
      <c r="D45" s="8"/>
      <c r="E45" s="8"/>
      <c r="F45" s="183"/>
      <c r="G45" s="202"/>
      <c r="H45" s="8" t="s">
        <v>94</v>
      </c>
      <c r="I45" s="15">
        <f>I44</f>
        <v>2532740</v>
      </c>
      <c r="J45" s="15">
        <f>J44</f>
        <v>2532740</v>
      </c>
      <c r="K45" s="401">
        <f t="shared" si="20"/>
        <v>2364090</v>
      </c>
      <c r="L45" s="172">
        <f t="shared" si="20"/>
        <v>780000</v>
      </c>
      <c r="M45" s="264">
        <f t="shared" si="20"/>
        <v>3144090</v>
      </c>
      <c r="N45" s="217">
        <f>IF(J45=0,"",M45/J45*100)</f>
        <v>124.13789019007085</v>
      </c>
    </row>
    <row r="46" spans="1:16" ht="12.95" customHeight="1" thickBot="1">
      <c r="B46" s="16"/>
      <c r="C46" s="17"/>
      <c r="D46" s="17"/>
      <c r="E46" s="17"/>
      <c r="F46" s="185"/>
      <c r="G46" s="204"/>
      <c r="H46" s="17"/>
      <c r="I46" s="31"/>
      <c r="J46" s="31"/>
      <c r="K46" s="402"/>
      <c r="L46" s="31"/>
      <c r="M46" s="267"/>
      <c r="N46" s="220"/>
    </row>
    <row r="47" spans="1:16" ht="12.95" customHeight="1">
      <c r="F47" s="186"/>
      <c r="G47" s="205"/>
      <c r="M47" s="268"/>
    </row>
    <row r="48" spans="1:16" ht="12.95" customHeight="1">
      <c r="B48" s="45"/>
      <c r="F48" s="186"/>
      <c r="G48" s="205"/>
      <c r="M48" s="268"/>
    </row>
    <row r="49" spans="2:13" ht="12.95" customHeight="1">
      <c r="B49" s="45"/>
      <c r="F49" s="186"/>
      <c r="G49" s="205"/>
      <c r="M49" s="268"/>
    </row>
    <row r="50" spans="2:13" ht="12.95" customHeight="1">
      <c r="B50" s="45"/>
      <c r="F50" s="186"/>
      <c r="G50" s="205"/>
      <c r="M50" s="268"/>
    </row>
    <row r="51" spans="2:13" ht="12.95" customHeight="1">
      <c r="F51" s="186"/>
      <c r="G51" s="205"/>
      <c r="M51" s="268"/>
    </row>
    <row r="52" spans="2:13" ht="12.95" customHeight="1">
      <c r="F52" s="186"/>
      <c r="G52" s="205"/>
      <c r="M52" s="268"/>
    </row>
    <row r="53" spans="2:13" ht="12.95" customHeight="1">
      <c r="F53" s="186"/>
      <c r="G53" s="205"/>
      <c r="M53" s="268"/>
    </row>
    <row r="54" spans="2:13" ht="12.95" customHeight="1">
      <c r="F54" s="186"/>
      <c r="G54" s="205"/>
      <c r="M54" s="268"/>
    </row>
    <row r="55" spans="2:13" ht="12.95" customHeight="1">
      <c r="F55" s="186"/>
      <c r="G55" s="205"/>
      <c r="M55" s="268"/>
    </row>
    <row r="56" spans="2:13" ht="12.95" customHeight="1">
      <c r="F56" s="186"/>
      <c r="G56" s="205"/>
      <c r="M56" s="268"/>
    </row>
    <row r="57" spans="2:13" ht="12.95" customHeight="1">
      <c r="F57" s="186"/>
      <c r="G57" s="205"/>
      <c r="M57" s="268"/>
    </row>
    <row r="58" spans="2:13" ht="12.95" customHeight="1">
      <c r="F58" s="186"/>
      <c r="G58" s="205"/>
      <c r="M58" s="268"/>
    </row>
    <row r="59" spans="2:13" ht="12.95" customHeight="1">
      <c r="F59" s="186"/>
      <c r="G59" s="205"/>
      <c r="M59" s="268"/>
    </row>
    <row r="60" spans="2:13" ht="12.95" customHeight="1">
      <c r="F60" s="186"/>
      <c r="G60" s="205"/>
      <c r="M60" s="268"/>
    </row>
    <row r="61" spans="2:13" ht="12.95" customHeight="1">
      <c r="F61" s="186"/>
      <c r="G61" s="205"/>
      <c r="M61" s="268"/>
    </row>
    <row r="62" spans="2:13" ht="12.95" customHeight="1">
      <c r="F62" s="186"/>
      <c r="G62" s="205"/>
      <c r="M62" s="268"/>
    </row>
    <row r="63" spans="2:13" ht="12.95" customHeight="1">
      <c r="F63" s="186"/>
      <c r="G63" s="205"/>
      <c r="M63" s="268"/>
    </row>
    <row r="64" spans="2:13" ht="17.100000000000001" customHeight="1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205"/>
      <c r="M74" s="268"/>
    </row>
    <row r="75" spans="6:13" ht="14.25">
      <c r="F75" s="186"/>
      <c r="G75" s="205"/>
      <c r="M75" s="268"/>
    </row>
    <row r="76" spans="6:13" ht="14.25">
      <c r="F76" s="186"/>
      <c r="G76" s="205"/>
      <c r="M76" s="268"/>
    </row>
    <row r="77" spans="6:13" ht="14.25">
      <c r="F77" s="186"/>
      <c r="G77" s="205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 ht="14.25">
      <c r="F91" s="186"/>
      <c r="G91" s="186"/>
      <c r="M91" s="268"/>
    </row>
    <row r="92" spans="6:13" ht="14.25">
      <c r="F92" s="186"/>
      <c r="G92" s="186"/>
      <c r="M92" s="268"/>
    </row>
    <row r="93" spans="6:13" ht="14.25">
      <c r="F93" s="186"/>
      <c r="G93" s="186"/>
      <c r="M93" s="268"/>
    </row>
    <row r="94" spans="6:13" ht="14.25">
      <c r="F94" s="186"/>
      <c r="G94" s="186"/>
      <c r="M94" s="268"/>
    </row>
    <row r="95" spans="6:13">
      <c r="G95" s="186"/>
    </row>
    <row r="96" spans="6:13">
      <c r="G96" s="186"/>
    </row>
    <row r="97" spans="7:7">
      <c r="G97" s="186"/>
    </row>
    <row r="98" spans="7:7">
      <c r="G98" s="186"/>
    </row>
    <row r="99" spans="7:7">
      <c r="G99" s="186"/>
    </row>
    <row r="100" spans="7:7">
      <c r="G100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3"/>
  <dimension ref="A1:P87"/>
  <sheetViews>
    <sheetView zoomScaleSheetLayoutView="100" workbookViewId="0">
      <selection activeCell="R21" sqref="R21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664</v>
      </c>
      <c r="C2" s="877"/>
      <c r="D2" s="877"/>
      <c r="E2" s="877"/>
      <c r="F2" s="877"/>
      <c r="G2" s="877"/>
      <c r="H2" s="877"/>
      <c r="I2" s="877"/>
      <c r="J2" s="253"/>
      <c r="K2" s="255"/>
      <c r="L2" s="255"/>
      <c r="M2" s="255"/>
      <c r="N2" s="257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374" customFormat="1" ht="11.1" customHeight="1"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80</v>
      </c>
      <c r="D7" s="7" t="s">
        <v>81</v>
      </c>
      <c r="E7" s="459" t="s">
        <v>733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405">
        <f t="shared" ref="I8:J8" si="0">SUM(I9:I12)</f>
        <v>358190</v>
      </c>
      <c r="J8" s="405">
        <f t="shared" si="0"/>
        <v>358190</v>
      </c>
      <c r="K8" s="538">
        <f>SUM(K9:K12)</f>
        <v>421160</v>
      </c>
      <c r="L8" s="405">
        <f>SUM(L9:L12)</f>
        <v>0</v>
      </c>
      <c r="M8" s="261">
        <f>SUM(M9:M12)</f>
        <v>421160</v>
      </c>
      <c r="N8" s="217">
        <f t="shared" ref="N8:N38" si="1">IF(J8=0,"",M8/J8*100)</f>
        <v>117.58005527792513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37">
        <v>303110</v>
      </c>
      <c r="J9" s="237">
        <v>303110</v>
      </c>
      <c r="K9" s="393">
        <f>336320+1200+450+9*1600+12*450</f>
        <v>357770</v>
      </c>
      <c r="L9" s="237">
        <v>0</v>
      </c>
      <c r="M9" s="262">
        <f>SUM(K9:L9)</f>
        <v>357770</v>
      </c>
      <c r="N9" s="218">
        <f t="shared" si="1"/>
        <v>118.03305730592855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37">
        <v>55080</v>
      </c>
      <c r="J10" s="237">
        <v>55080</v>
      </c>
      <c r="K10" s="393">
        <f>52540+1000+5500+1000+500+2850</f>
        <v>63390</v>
      </c>
      <c r="L10" s="237">
        <v>0</v>
      </c>
      <c r="M10" s="262">
        <f t="shared" ref="M10:M11" si="2">SUM(K10:L10)</f>
        <v>63390</v>
      </c>
      <c r="N10" s="218">
        <f t="shared" si="1"/>
        <v>115.08714596949892</v>
      </c>
      <c r="P10" s="51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406">
        <v>0</v>
      </c>
      <c r="J11" s="406">
        <v>0</v>
      </c>
      <c r="K11" s="539">
        <v>0</v>
      </c>
      <c r="L11" s="406">
        <v>0</v>
      </c>
      <c r="M11" s="262">
        <f t="shared" si="2"/>
        <v>0</v>
      </c>
      <c r="N11" s="218" t="str">
        <f t="shared" si="1"/>
        <v/>
      </c>
      <c r="P11" s="50"/>
    </row>
    <row r="12" spans="1:16" ht="8.1" customHeight="1">
      <c r="B12" s="10"/>
      <c r="C12" s="11"/>
      <c r="D12" s="11"/>
      <c r="E12" s="170"/>
      <c r="F12" s="184"/>
      <c r="G12" s="203"/>
      <c r="H12" s="472"/>
      <c r="I12" s="237"/>
      <c r="J12" s="237"/>
      <c r="K12" s="393"/>
      <c r="L12" s="237"/>
      <c r="M12" s="262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405">
        <f t="shared" ref="I13:J13" si="3">I14</f>
        <v>32130</v>
      </c>
      <c r="J13" s="405">
        <f t="shared" si="3"/>
        <v>32130</v>
      </c>
      <c r="K13" s="538">
        <f>K14</f>
        <v>38290</v>
      </c>
      <c r="L13" s="405">
        <f>L14</f>
        <v>0</v>
      </c>
      <c r="M13" s="261">
        <f>M14</f>
        <v>38290</v>
      </c>
      <c r="N13" s="217">
        <f t="shared" si="1"/>
        <v>119.17211328976035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37">
        <v>32130</v>
      </c>
      <c r="J14" s="237">
        <v>32130</v>
      </c>
      <c r="K14" s="393">
        <f>35320+700+50+9*180+12*50</f>
        <v>38290</v>
      </c>
      <c r="L14" s="237">
        <v>0</v>
      </c>
      <c r="M14" s="262">
        <f>SUM(K14:L14)</f>
        <v>38290</v>
      </c>
      <c r="N14" s="218">
        <f t="shared" si="1"/>
        <v>119.17211328976035</v>
      </c>
    </row>
    <row r="15" spans="1:16" ht="8.1" customHeight="1">
      <c r="B15" s="10"/>
      <c r="C15" s="11"/>
      <c r="D15" s="11"/>
      <c r="E15" s="170"/>
      <c r="F15" s="184"/>
      <c r="G15" s="203"/>
      <c r="H15" s="24"/>
      <c r="I15" s="245"/>
      <c r="J15" s="245"/>
      <c r="K15" s="391"/>
      <c r="L15" s="245"/>
      <c r="M15" s="263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4">
        <f t="shared" ref="I16" si="4">SUM(I17:I29)</f>
        <v>120930</v>
      </c>
      <c r="J16" s="244">
        <f t="shared" ref="J16" si="5">SUM(J17:J29)</f>
        <v>120930</v>
      </c>
      <c r="K16" s="532">
        <f>SUM(K17:K29)</f>
        <v>252300</v>
      </c>
      <c r="L16" s="244">
        <f>SUM(L17:L29)</f>
        <v>0</v>
      </c>
      <c r="M16" s="264">
        <f>SUM(M17:M29)</f>
        <v>252300</v>
      </c>
      <c r="N16" s="217">
        <f t="shared" si="1"/>
        <v>208.63309352517985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3500</v>
      </c>
      <c r="J17" s="245">
        <v>3500</v>
      </c>
      <c r="K17" s="391">
        <v>4100</v>
      </c>
      <c r="L17" s="245">
        <v>0</v>
      </c>
      <c r="M17" s="262">
        <f t="shared" ref="M17:M29" si="6">SUM(K17:L17)</f>
        <v>4100</v>
      </c>
      <c r="N17" s="218">
        <f t="shared" si="1"/>
        <v>117.14285714285715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1">
        <v>0</v>
      </c>
      <c r="L18" s="245">
        <v>0</v>
      </c>
      <c r="M18" s="262">
        <f t="shared" si="6"/>
        <v>0</v>
      </c>
      <c r="N18" s="218" t="str">
        <f t="shared" si="1"/>
        <v/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3700</v>
      </c>
      <c r="J19" s="245">
        <v>3700</v>
      </c>
      <c r="K19" s="391">
        <v>3700</v>
      </c>
      <c r="L19" s="245">
        <v>0</v>
      </c>
      <c r="M19" s="262">
        <f t="shared" si="6"/>
        <v>3700</v>
      </c>
      <c r="N19" s="218">
        <f t="shared" si="1"/>
        <v>100</v>
      </c>
    </row>
    <row r="20" spans="1:15" ht="12.7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17330</v>
      </c>
      <c r="J20" s="245">
        <v>17330</v>
      </c>
      <c r="K20" s="391">
        <v>8500</v>
      </c>
      <c r="L20" s="245"/>
      <c r="M20" s="262">
        <f t="shared" si="6"/>
        <v>8500</v>
      </c>
      <c r="N20" s="218">
        <f t="shared" si="1"/>
        <v>49.04789382573572</v>
      </c>
    </row>
    <row r="21" spans="1:15" s="168" customFormat="1" ht="27" customHeight="1">
      <c r="B21" s="169"/>
      <c r="C21" s="170"/>
      <c r="D21" s="170"/>
      <c r="E21" s="628" t="s">
        <v>741</v>
      </c>
      <c r="F21" s="188">
        <v>613400</v>
      </c>
      <c r="G21" s="629" t="s">
        <v>924</v>
      </c>
      <c r="H21" s="500" t="s">
        <v>911</v>
      </c>
      <c r="I21" s="436">
        <v>0</v>
      </c>
      <c r="J21" s="436">
        <v>0</v>
      </c>
      <c r="K21" s="551">
        <v>143000</v>
      </c>
      <c r="L21" s="436"/>
      <c r="M21" s="630">
        <f t="shared" ref="M21" si="7">SUM(K21:L21)</f>
        <v>143000</v>
      </c>
      <c r="N21" s="218" t="str">
        <f t="shared" ref="N21" si="8">IF(J21=0,"",M21/J21*100)</f>
        <v/>
      </c>
    </row>
    <row r="22" spans="1:15" ht="12.95" customHeight="1">
      <c r="B22" s="10"/>
      <c r="C22" s="11"/>
      <c r="D22" s="11"/>
      <c r="E22" s="170"/>
      <c r="F22" s="184">
        <v>613500</v>
      </c>
      <c r="G22" s="203"/>
      <c r="H22" s="24" t="s">
        <v>85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6"/>
        <v>0</v>
      </c>
      <c r="N22" s="218" t="str">
        <f t="shared" si="1"/>
        <v/>
      </c>
    </row>
    <row r="23" spans="1:15" ht="12.95" customHeight="1">
      <c r="B23" s="10"/>
      <c r="C23" s="11"/>
      <c r="D23" s="11"/>
      <c r="E23" s="170"/>
      <c r="F23" s="184">
        <v>613600</v>
      </c>
      <c r="G23" s="203"/>
      <c r="H23" s="472" t="s">
        <v>170</v>
      </c>
      <c r="I23" s="245">
        <v>0</v>
      </c>
      <c r="J23" s="245">
        <v>0</v>
      </c>
      <c r="K23" s="391">
        <v>0</v>
      </c>
      <c r="L23" s="245">
        <v>0</v>
      </c>
      <c r="M23" s="262">
        <f t="shared" si="6"/>
        <v>0</v>
      </c>
      <c r="N23" s="218" t="str">
        <f t="shared" si="1"/>
        <v/>
      </c>
    </row>
    <row r="24" spans="1:15" ht="12.95" customHeight="1">
      <c r="B24" s="10"/>
      <c r="C24" s="11"/>
      <c r="D24" s="11"/>
      <c r="E24" s="170"/>
      <c r="F24" s="184">
        <v>613700</v>
      </c>
      <c r="G24" s="203"/>
      <c r="H24" s="24" t="s">
        <v>86</v>
      </c>
      <c r="I24" s="245">
        <v>2500</v>
      </c>
      <c r="J24" s="245">
        <v>2500</v>
      </c>
      <c r="K24" s="391">
        <v>3000</v>
      </c>
      <c r="L24" s="245">
        <v>0</v>
      </c>
      <c r="M24" s="262">
        <f t="shared" si="6"/>
        <v>3000</v>
      </c>
      <c r="N24" s="218">
        <f t="shared" si="1"/>
        <v>120</v>
      </c>
    </row>
    <row r="25" spans="1:15" ht="12.95" customHeight="1">
      <c r="B25" s="10"/>
      <c r="C25" s="11"/>
      <c r="D25" s="11"/>
      <c r="E25" s="170"/>
      <c r="F25" s="184">
        <v>613800</v>
      </c>
      <c r="G25" s="203"/>
      <c r="H25" s="24" t="s">
        <v>144</v>
      </c>
      <c r="I25" s="245">
        <v>0</v>
      </c>
      <c r="J25" s="245">
        <v>0</v>
      </c>
      <c r="K25" s="391">
        <v>0</v>
      </c>
      <c r="L25" s="245">
        <v>0</v>
      </c>
      <c r="M25" s="262">
        <f t="shared" si="6"/>
        <v>0</v>
      </c>
      <c r="N25" s="218" t="str">
        <f t="shared" si="1"/>
        <v/>
      </c>
    </row>
    <row r="26" spans="1:15" ht="12.95" customHeight="1">
      <c r="B26" s="10"/>
      <c r="C26" s="11"/>
      <c r="D26" s="11"/>
      <c r="E26" s="170"/>
      <c r="F26" s="184">
        <v>613800</v>
      </c>
      <c r="G26" s="203"/>
      <c r="H26" s="472" t="s">
        <v>153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6"/>
        <v>0</v>
      </c>
      <c r="N26" s="218" t="str">
        <f t="shared" si="1"/>
        <v/>
      </c>
    </row>
    <row r="27" spans="1:15" ht="12.95" customHeight="1">
      <c r="B27" s="10"/>
      <c r="C27" s="11"/>
      <c r="D27" s="11"/>
      <c r="E27" s="170"/>
      <c r="F27" s="184">
        <v>613900</v>
      </c>
      <c r="G27" s="203"/>
      <c r="H27" s="472" t="s">
        <v>145</v>
      </c>
      <c r="I27" s="245">
        <v>41900</v>
      </c>
      <c r="J27" s="245">
        <v>41900</v>
      </c>
      <c r="K27" s="391">
        <v>35000</v>
      </c>
      <c r="L27" s="245">
        <v>0</v>
      </c>
      <c r="M27" s="262">
        <f t="shared" si="6"/>
        <v>35000</v>
      </c>
      <c r="N27" s="218">
        <f t="shared" si="1"/>
        <v>83.532219570405729</v>
      </c>
    </row>
    <row r="28" spans="1:15" ht="12.95" customHeight="1">
      <c r="B28" s="10"/>
      <c r="C28" s="11"/>
      <c r="D28" s="11"/>
      <c r="E28" s="170"/>
      <c r="F28" s="184">
        <v>613900</v>
      </c>
      <c r="G28" s="203" t="s">
        <v>533</v>
      </c>
      <c r="H28" s="472" t="s">
        <v>148</v>
      </c>
      <c r="I28" s="245">
        <v>52000</v>
      </c>
      <c r="J28" s="245">
        <v>52000</v>
      </c>
      <c r="K28" s="391">
        <v>55000</v>
      </c>
      <c r="L28" s="245">
        <v>0</v>
      </c>
      <c r="M28" s="262">
        <f t="shared" si="6"/>
        <v>55000</v>
      </c>
      <c r="N28" s="218">
        <f t="shared" si="1"/>
        <v>105.76923076923077</v>
      </c>
    </row>
    <row r="29" spans="1:15" ht="12.95" customHeight="1">
      <c r="B29" s="10"/>
      <c r="C29" s="11"/>
      <c r="D29" s="11"/>
      <c r="E29" s="170"/>
      <c r="F29" s="184">
        <v>613900</v>
      </c>
      <c r="G29" s="203"/>
      <c r="H29" s="479" t="s">
        <v>447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si="6"/>
        <v>0</v>
      </c>
      <c r="N29" s="218" t="str">
        <f t="shared" si="1"/>
        <v/>
      </c>
    </row>
    <row r="30" spans="1:15" ht="8.1" customHeight="1">
      <c r="B30" s="10"/>
      <c r="C30" s="11"/>
      <c r="D30" s="11"/>
      <c r="E30" s="170"/>
      <c r="F30" s="184"/>
      <c r="G30" s="203"/>
      <c r="H30" s="24"/>
      <c r="I30" s="245"/>
      <c r="J30" s="245"/>
      <c r="K30" s="391"/>
      <c r="L30" s="245"/>
      <c r="M30" s="263"/>
      <c r="N30" s="218" t="str">
        <f t="shared" si="1"/>
        <v/>
      </c>
    </row>
    <row r="31" spans="1:15" s="1" customFormat="1" ht="12.95" customHeight="1">
      <c r="A31" s="165"/>
      <c r="B31" s="12"/>
      <c r="C31" s="8"/>
      <c r="D31" s="8"/>
      <c r="E31" s="461"/>
      <c r="F31" s="183">
        <v>614000</v>
      </c>
      <c r="G31" s="202"/>
      <c r="H31" s="25" t="s">
        <v>171</v>
      </c>
      <c r="I31" s="244">
        <f>SUM(I32:I39)</f>
        <v>1597000</v>
      </c>
      <c r="J31" s="244">
        <f>SUM(J32:J39)</f>
        <v>1597000</v>
      </c>
      <c r="K31" s="532">
        <f>SUM(K32:K39)</f>
        <v>1615000</v>
      </c>
      <c r="L31" s="244">
        <f>SUM(L32:L39)</f>
        <v>0</v>
      </c>
      <c r="M31" s="264">
        <f>SUM(M32:M39)</f>
        <v>1615000</v>
      </c>
      <c r="N31" s="217">
        <f t="shared" si="1"/>
        <v>101.12711333750784</v>
      </c>
    </row>
    <row r="32" spans="1:15" s="83" customFormat="1" ht="12.75" customHeight="1">
      <c r="B32" s="79"/>
      <c r="C32" s="80"/>
      <c r="D32" s="81"/>
      <c r="E32" s="462" t="s">
        <v>734</v>
      </c>
      <c r="F32" s="188">
        <v>614100</v>
      </c>
      <c r="G32" s="207" t="s">
        <v>534</v>
      </c>
      <c r="H32" s="605" t="s">
        <v>859</v>
      </c>
      <c r="I32" s="436">
        <v>132000</v>
      </c>
      <c r="J32" s="436">
        <v>132000</v>
      </c>
      <c r="K32" s="551">
        <v>165000</v>
      </c>
      <c r="L32" s="436">
        <v>0</v>
      </c>
      <c r="M32" s="262">
        <f t="shared" ref="M32:M37" si="9">SUM(K32:L32)</f>
        <v>165000</v>
      </c>
      <c r="N32" s="218">
        <f t="shared" si="1"/>
        <v>125</v>
      </c>
      <c r="O32" s="82"/>
    </row>
    <row r="33" spans="1:15" ht="12.75" customHeight="1">
      <c r="B33" s="10"/>
      <c r="C33" s="11"/>
      <c r="D33" s="11"/>
      <c r="E33" s="463"/>
      <c r="F33" s="189">
        <v>614100</v>
      </c>
      <c r="G33" s="208" t="s">
        <v>535</v>
      </c>
      <c r="H33" s="497" t="s">
        <v>882</v>
      </c>
      <c r="I33" s="245">
        <v>340000</v>
      </c>
      <c r="J33" s="245">
        <v>340000</v>
      </c>
      <c r="K33" s="391">
        <v>340000</v>
      </c>
      <c r="L33" s="245">
        <v>0</v>
      </c>
      <c r="M33" s="262">
        <f t="shared" si="9"/>
        <v>340000</v>
      </c>
      <c r="N33" s="218">
        <f t="shared" si="1"/>
        <v>100</v>
      </c>
    </row>
    <row r="34" spans="1:15" ht="12.95" customHeight="1">
      <c r="B34" s="10"/>
      <c r="C34" s="11"/>
      <c r="D34" s="11"/>
      <c r="E34" s="464" t="s">
        <v>734</v>
      </c>
      <c r="F34" s="184">
        <v>614200</v>
      </c>
      <c r="G34" s="203" t="s">
        <v>536</v>
      </c>
      <c r="H34" s="497" t="s">
        <v>105</v>
      </c>
      <c r="I34" s="245">
        <v>150000</v>
      </c>
      <c r="J34" s="245">
        <v>150000</v>
      </c>
      <c r="K34" s="391">
        <v>150000</v>
      </c>
      <c r="L34" s="245">
        <v>0</v>
      </c>
      <c r="M34" s="262">
        <f t="shared" si="9"/>
        <v>150000</v>
      </c>
      <c r="N34" s="218">
        <f t="shared" si="1"/>
        <v>100</v>
      </c>
    </row>
    <row r="35" spans="1:15" s="83" customFormat="1" ht="27.75" customHeight="1">
      <c r="B35" s="79"/>
      <c r="C35" s="80"/>
      <c r="D35" s="80"/>
      <c r="E35" s="465" t="s">
        <v>737</v>
      </c>
      <c r="F35" s="188">
        <v>614200</v>
      </c>
      <c r="G35" s="207" t="s">
        <v>537</v>
      </c>
      <c r="H35" s="606" t="s">
        <v>616</v>
      </c>
      <c r="I35" s="436">
        <v>15000</v>
      </c>
      <c r="J35" s="436">
        <v>15000</v>
      </c>
      <c r="K35" s="551">
        <v>20000</v>
      </c>
      <c r="L35" s="436">
        <v>0</v>
      </c>
      <c r="M35" s="262">
        <f t="shared" si="9"/>
        <v>20000</v>
      </c>
      <c r="N35" s="218">
        <f t="shared" si="1"/>
        <v>133.33333333333331</v>
      </c>
    </row>
    <row r="36" spans="1:15" ht="12.95" customHeight="1">
      <c r="B36" s="10"/>
      <c r="C36" s="11"/>
      <c r="D36" s="11"/>
      <c r="E36" s="464" t="s">
        <v>738</v>
      </c>
      <c r="F36" s="184">
        <v>614300</v>
      </c>
      <c r="G36" s="203" t="s">
        <v>538</v>
      </c>
      <c r="H36" s="497" t="s">
        <v>860</v>
      </c>
      <c r="I36" s="245">
        <v>320000</v>
      </c>
      <c r="J36" s="245">
        <v>320000</v>
      </c>
      <c r="K36" s="391">
        <v>220000</v>
      </c>
      <c r="L36" s="245">
        <v>0</v>
      </c>
      <c r="M36" s="262">
        <f t="shared" si="9"/>
        <v>220000</v>
      </c>
      <c r="N36" s="218">
        <f t="shared" si="1"/>
        <v>68.75</v>
      </c>
    </row>
    <row r="37" spans="1:15" ht="12.95" customHeight="1">
      <c r="B37" s="10"/>
      <c r="C37" s="11"/>
      <c r="D37" s="11"/>
      <c r="E37" s="464" t="s">
        <v>739</v>
      </c>
      <c r="F37" s="184">
        <v>614300</v>
      </c>
      <c r="G37" s="203" t="s">
        <v>539</v>
      </c>
      <c r="H37" s="497" t="s">
        <v>861</v>
      </c>
      <c r="I37" s="245">
        <v>250000</v>
      </c>
      <c r="J37" s="245">
        <v>250000</v>
      </c>
      <c r="K37" s="391">
        <v>280000</v>
      </c>
      <c r="L37" s="245">
        <v>0</v>
      </c>
      <c r="M37" s="262">
        <f t="shared" si="9"/>
        <v>280000</v>
      </c>
      <c r="N37" s="218">
        <f t="shared" si="1"/>
        <v>112.00000000000001</v>
      </c>
      <c r="O37" s="58"/>
    </row>
    <row r="38" spans="1:15" s="168" customFormat="1" ht="12.95" customHeight="1">
      <c r="B38" s="169"/>
      <c r="C38" s="170"/>
      <c r="D38" s="170"/>
      <c r="E38" s="463" t="s">
        <v>736</v>
      </c>
      <c r="F38" s="189">
        <v>614300</v>
      </c>
      <c r="G38" s="208" t="s">
        <v>630</v>
      </c>
      <c r="H38" s="607" t="s">
        <v>862</v>
      </c>
      <c r="I38" s="245">
        <v>310000</v>
      </c>
      <c r="J38" s="245">
        <v>310000</v>
      </c>
      <c r="K38" s="391">
        <v>320000</v>
      </c>
      <c r="L38" s="245">
        <v>0</v>
      </c>
      <c r="M38" s="262">
        <f t="shared" ref="M38:M39" si="10">SUM(K38:L38)</f>
        <v>320000</v>
      </c>
      <c r="N38" s="218">
        <f t="shared" si="1"/>
        <v>103.2258064516129</v>
      </c>
    </row>
    <row r="39" spans="1:15" s="168" customFormat="1" ht="12.95" customHeight="1">
      <c r="B39" s="169"/>
      <c r="C39" s="170"/>
      <c r="D39" s="170"/>
      <c r="E39" s="463" t="s">
        <v>735</v>
      </c>
      <c r="F39" s="189">
        <v>614300</v>
      </c>
      <c r="G39" s="208" t="s">
        <v>631</v>
      </c>
      <c r="H39" s="607" t="s">
        <v>863</v>
      </c>
      <c r="I39" s="245">
        <v>80000</v>
      </c>
      <c r="J39" s="245">
        <v>80000</v>
      </c>
      <c r="K39" s="391">
        <v>120000</v>
      </c>
      <c r="L39" s="245">
        <v>0</v>
      </c>
      <c r="M39" s="262">
        <f t="shared" si="10"/>
        <v>120000</v>
      </c>
      <c r="N39" s="218"/>
    </row>
    <row r="40" spans="1:15" ht="8.1" customHeight="1">
      <c r="B40" s="10"/>
      <c r="C40" s="11"/>
      <c r="D40" s="11"/>
      <c r="E40" s="464"/>
      <c r="F40" s="184"/>
      <c r="G40" s="203"/>
      <c r="H40" s="503"/>
      <c r="I40" s="245"/>
      <c r="J40" s="245"/>
      <c r="K40" s="391"/>
      <c r="L40" s="245"/>
      <c r="M40" s="263"/>
      <c r="N40" s="218" t="str">
        <f>IF(J40=0,"",M40/J40*100)</f>
        <v/>
      </c>
      <c r="O40" s="58"/>
    </row>
    <row r="41" spans="1:15" s="1" customFormat="1" ht="12.95" customHeight="1">
      <c r="A41" s="165"/>
      <c r="B41" s="12"/>
      <c r="C41" s="8"/>
      <c r="D41" s="8"/>
      <c r="E41" s="461"/>
      <c r="F41" s="183">
        <v>821000</v>
      </c>
      <c r="G41" s="202"/>
      <c r="H41" s="25" t="s">
        <v>89</v>
      </c>
      <c r="I41" s="244">
        <f t="shared" ref="I41" si="11">SUM(I42:I43)</f>
        <v>260100</v>
      </c>
      <c r="J41" s="244">
        <f t="shared" ref="J41" si="12">SUM(J42:J43)</f>
        <v>260100</v>
      </c>
      <c r="K41" s="532">
        <f>SUM(K42:K43)</f>
        <v>110000</v>
      </c>
      <c r="L41" s="244">
        <f>SUM(L42:L43)</f>
        <v>20000</v>
      </c>
      <c r="M41" s="264">
        <f>SUM(M42:M43)</f>
        <v>130000</v>
      </c>
      <c r="N41" s="217">
        <f>IF(J41=0,"",M41/J41*100)</f>
        <v>49.980776624375238</v>
      </c>
    </row>
    <row r="42" spans="1:15" ht="12.95" customHeight="1">
      <c r="B42" s="10"/>
      <c r="C42" s="11"/>
      <c r="D42" s="11"/>
      <c r="E42" s="464"/>
      <c r="F42" s="184">
        <v>821200</v>
      </c>
      <c r="G42" s="203"/>
      <c r="H42" s="24" t="s">
        <v>90</v>
      </c>
      <c r="I42" s="243">
        <v>250100</v>
      </c>
      <c r="J42" s="243">
        <v>250100</v>
      </c>
      <c r="K42" s="388">
        <v>100000</v>
      </c>
      <c r="L42" s="243">
        <v>0</v>
      </c>
      <c r="M42" s="262">
        <f t="shared" ref="M42:M43" si="13">SUM(K42:L42)</f>
        <v>100000</v>
      </c>
      <c r="N42" s="218">
        <f>IF(J42=0,"",M42/J42*100)</f>
        <v>39.984006397441021</v>
      </c>
    </row>
    <row r="43" spans="1:15" ht="12.95" customHeight="1">
      <c r="B43" s="10"/>
      <c r="C43" s="11"/>
      <c r="D43" s="11"/>
      <c r="E43" s="464"/>
      <c r="F43" s="184">
        <v>821300</v>
      </c>
      <c r="G43" s="203"/>
      <c r="H43" s="24" t="s">
        <v>91</v>
      </c>
      <c r="I43" s="245">
        <v>10000</v>
      </c>
      <c r="J43" s="245">
        <v>10000</v>
      </c>
      <c r="K43" s="391">
        <v>10000</v>
      </c>
      <c r="L43" s="245">
        <v>20000</v>
      </c>
      <c r="M43" s="262">
        <f t="shared" si="13"/>
        <v>30000</v>
      </c>
      <c r="N43" s="218">
        <f>IF(J43=0,"",M43/J43*100)</f>
        <v>300</v>
      </c>
    </row>
    <row r="44" spans="1:15" ht="8.1" customHeight="1">
      <c r="B44" s="10"/>
      <c r="C44" s="11"/>
      <c r="D44" s="11"/>
      <c r="E44" s="170"/>
      <c r="F44" s="184"/>
      <c r="G44" s="203"/>
      <c r="H44" s="472"/>
      <c r="I44" s="243"/>
      <c r="J44" s="243"/>
      <c r="K44" s="388"/>
      <c r="L44" s="243"/>
      <c r="M44" s="263"/>
      <c r="N44" s="218" t="str">
        <f>IF(J44=0,"",M44/J44*100)</f>
        <v/>
      </c>
    </row>
    <row r="45" spans="1:15" s="1" customFormat="1" ht="12.95" customHeight="1">
      <c r="A45" s="165"/>
      <c r="B45" s="12"/>
      <c r="C45" s="8"/>
      <c r="D45" s="8"/>
      <c r="E45" s="8"/>
      <c r="F45" s="183"/>
      <c r="G45" s="202"/>
      <c r="H45" s="25" t="s">
        <v>92</v>
      </c>
      <c r="I45" s="434" t="s">
        <v>815</v>
      </c>
      <c r="J45" s="434" t="s">
        <v>815</v>
      </c>
      <c r="K45" s="548" t="s">
        <v>901</v>
      </c>
      <c r="L45" s="240"/>
      <c r="M45" s="266" t="s">
        <v>901</v>
      </c>
      <c r="N45" s="218"/>
    </row>
    <row r="46" spans="1:15" s="1" customFormat="1" ht="12.95" customHeight="1">
      <c r="A46" s="165"/>
      <c r="B46" s="12"/>
      <c r="C46" s="8"/>
      <c r="D46" s="8"/>
      <c r="E46" s="8"/>
      <c r="F46" s="183"/>
      <c r="G46" s="202"/>
      <c r="H46" s="8" t="s">
        <v>106</v>
      </c>
      <c r="I46" s="398">
        <f t="shared" ref="I46:M46" si="14">I8+I13+I16+I31+I41</f>
        <v>2368350</v>
      </c>
      <c r="J46" s="172">
        <f t="shared" si="14"/>
        <v>2368350</v>
      </c>
      <c r="K46" s="401">
        <f t="shared" si="14"/>
        <v>2436750</v>
      </c>
      <c r="L46" s="172">
        <f t="shared" si="14"/>
        <v>20000</v>
      </c>
      <c r="M46" s="264">
        <f t="shared" si="14"/>
        <v>2456750</v>
      </c>
      <c r="N46" s="217">
        <f>IF(J46=0,"",M46/J46*100)</f>
        <v>103.73255642113708</v>
      </c>
    </row>
    <row r="47" spans="1:15" s="1" customFormat="1" ht="12.95" customHeight="1">
      <c r="A47" s="165"/>
      <c r="B47" s="12"/>
      <c r="C47" s="8"/>
      <c r="D47" s="8"/>
      <c r="E47" s="8"/>
      <c r="F47" s="183"/>
      <c r="G47" s="202"/>
      <c r="H47" s="8" t="s">
        <v>93</v>
      </c>
      <c r="I47" s="11"/>
      <c r="J47" s="11"/>
      <c r="K47" s="169"/>
      <c r="L47" s="170"/>
      <c r="M47" s="274"/>
      <c r="N47" s="219"/>
    </row>
    <row r="48" spans="1:15" s="1" customFormat="1" ht="12.95" customHeight="1">
      <c r="A48" s="165"/>
      <c r="B48" s="12"/>
      <c r="C48" s="8"/>
      <c r="D48" s="8"/>
      <c r="E48" s="8"/>
      <c r="F48" s="183"/>
      <c r="G48" s="202"/>
      <c r="H48" s="8" t="s">
        <v>94</v>
      </c>
      <c r="I48" s="11"/>
      <c r="J48" s="11"/>
      <c r="K48" s="169"/>
      <c r="L48" s="170"/>
      <c r="M48" s="274"/>
      <c r="N48" s="219"/>
    </row>
    <row r="49" spans="2:14" ht="8.1" customHeight="1" thickBot="1">
      <c r="B49" s="16"/>
      <c r="C49" s="17"/>
      <c r="D49" s="17"/>
      <c r="E49" s="17"/>
      <c r="F49" s="185"/>
      <c r="G49" s="204"/>
      <c r="H49" s="17"/>
      <c r="I49" s="17"/>
      <c r="J49" s="17"/>
      <c r="K49" s="16"/>
      <c r="L49" s="17"/>
      <c r="M49" s="271"/>
      <c r="N49" s="220"/>
    </row>
    <row r="50" spans="2:14" ht="12.95" customHeight="1">
      <c r="F50" s="186"/>
      <c r="G50" s="205"/>
      <c r="M50" s="268"/>
    </row>
    <row r="51" spans="2:14" ht="17.100000000000001" customHeight="1">
      <c r="F51" s="186"/>
      <c r="G51" s="205"/>
      <c r="M51" s="609"/>
    </row>
    <row r="52" spans="2:14" ht="17.100000000000001" customHeight="1">
      <c r="B52" s="45"/>
      <c r="F52" s="186"/>
      <c r="G52" s="205"/>
      <c r="M52" s="268"/>
    </row>
    <row r="53" spans="2:14" ht="17.100000000000001" customHeight="1">
      <c r="B53" s="45"/>
      <c r="F53" s="186"/>
      <c r="G53" s="205"/>
      <c r="M53" s="268"/>
    </row>
    <row r="54" spans="2:14" ht="14.25">
      <c r="B54" s="45"/>
      <c r="F54" s="186"/>
      <c r="G54" s="205"/>
      <c r="M54" s="268"/>
    </row>
    <row r="55" spans="2:14" ht="14.25">
      <c r="B55" s="45"/>
      <c r="F55" s="186"/>
      <c r="G55" s="205"/>
      <c r="M55" s="268"/>
    </row>
    <row r="56" spans="2:14" ht="14.25">
      <c r="F56" s="186"/>
      <c r="G56" s="205"/>
      <c r="M56" s="268"/>
    </row>
    <row r="57" spans="2:14" ht="14.25">
      <c r="F57" s="186"/>
      <c r="G57" s="205"/>
      <c r="M57" s="268"/>
    </row>
    <row r="58" spans="2:14" ht="14.25">
      <c r="F58" s="186"/>
      <c r="G58" s="205"/>
      <c r="M58" s="268"/>
    </row>
    <row r="59" spans="2:14" ht="14.25">
      <c r="F59" s="186"/>
      <c r="G59" s="205"/>
      <c r="M59" s="268"/>
    </row>
    <row r="60" spans="2:14" ht="14.25">
      <c r="F60" s="186"/>
      <c r="G60" s="205"/>
      <c r="M60" s="268"/>
    </row>
    <row r="61" spans="2:14" ht="14.25">
      <c r="F61" s="186"/>
      <c r="G61" s="205"/>
      <c r="M61" s="268"/>
    </row>
    <row r="62" spans="2:14" ht="14.25">
      <c r="F62" s="186"/>
      <c r="G62" s="205"/>
      <c r="M62" s="268"/>
    </row>
    <row r="63" spans="2:14" ht="14.25">
      <c r="F63" s="186"/>
      <c r="G63" s="205"/>
      <c r="M63" s="268"/>
    </row>
    <row r="64" spans="2:14" ht="14.25">
      <c r="F64" s="186"/>
      <c r="G64" s="205"/>
      <c r="M64" s="268"/>
    </row>
    <row r="65" spans="6:13" ht="14.25">
      <c r="F65" s="186"/>
      <c r="G65" s="186"/>
      <c r="M65" s="268"/>
    </row>
    <row r="66" spans="6:13" ht="14.25">
      <c r="F66" s="186"/>
      <c r="G66" s="186"/>
      <c r="M66" s="268"/>
    </row>
    <row r="67" spans="6:13" ht="14.25">
      <c r="F67" s="186"/>
      <c r="G67" s="186"/>
      <c r="M67" s="268"/>
    </row>
    <row r="68" spans="6:13" ht="14.25">
      <c r="F68" s="186"/>
      <c r="G68" s="186"/>
      <c r="M68" s="268"/>
    </row>
    <row r="69" spans="6:13" ht="14.25">
      <c r="F69" s="186"/>
      <c r="G69" s="186"/>
      <c r="M69" s="268"/>
    </row>
    <row r="70" spans="6:13" ht="14.25">
      <c r="F70" s="186"/>
      <c r="G70" s="186"/>
      <c r="M70" s="268"/>
    </row>
    <row r="71" spans="6:13" ht="14.25">
      <c r="F71" s="186"/>
      <c r="G71" s="186"/>
      <c r="M71" s="268"/>
    </row>
    <row r="72" spans="6:13" ht="14.25">
      <c r="F72" s="186"/>
      <c r="G72" s="186"/>
      <c r="M72" s="268"/>
    </row>
    <row r="73" spans="6:13" ht="14.25">
      <c r="F73" s="186"/>
      <c r="G73" s="186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>
      <c r="G82" s="186"/>
    </row>
    <row r="83" spans="6:13">
      <c r="G83" s="186"/>
    </row>
    <row r="84" spans="6:13">
      <c r="G84" s="186"/>
    </row>
    <row r="85" spans="6:13">
      <c r="G85" s="186"/>
    </row>
    <row r="86" spans="6:13">
      <c r="G86" s="186"/>
    </row>
    <row r="87" spans="6:13">
      <c r="G87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5"/>
  <dimension ref="A1:R96"/>
  <sheetViews>
    <sheetView zoomScaleSheetLayoutView="10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5" width="9.140625" style="9"/>
    <col min="16" max="16" width="10.140625" style="9" bestFit="1" customWidth="1"/>
    <col min="17" max="16384" width="9.140625" style="9"/>
  </cols>
  <sheetData>
    <row r="1" spans="1:18" ht="13.5" thickBot="1"/>
    <row r="2" spans="1:18" s="83" customFormat="1" ht="20.100000000000001" customHeight="1" thickTop="1" thickBot="1">
      <c r="B2" s="876" t="s">
        <v>696</v>
      </c>
      <c r="C2" s="913"/>
      <c r="D2" s="913"/>
      <c r="E2" s="913"/>
      <c r="F2" s="913"/>
      <c r="G2" s="913"/>
      <c r="H2" s="913"/>
      <c r="I2" s="913"/>
      <c r="J2" s="913"/>
      <c r="K2" s="913"/>
      <c r="L2" s="913"/>
      <c r="M2" s="913"/>
      <c r="N2" s="914"/>
      <c r="P2" s="252"/>
    </row>
    <row r="3" spans="1:18" s="1" customFormat="1" ht="8.1" customHeight="1" thickTop="1" thickBot="1">
      <c r="A3" s="165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</row>
    <row r="4" spans="1:18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906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8" s="165" customFormat="1" ht="27" customHeight="1">
      <c r="B5" s="884"/>
      <c r="C5" s="886"/>
      <c r="D5" s="886"/>
      <c r="E5" s="889"/>
      <c r="F5" s="891"/>
      <c r="G5" s="889"/>
      <c r="H5" s="891"/>
      <c r="I5" s="907"/>
      <c r="J5" s="891"/>
      <c r="K5" s="404" t="s">
        <v>543</v>
      </c>
      <c r="L5" s="250" t="s">
        <v>544</v>
      </c>
      <c r="M5" s="259" t="s">
        <v>331</v>
      </c>
      <c r="N5" s="895"/>
    </row>
    <row r="6" spans="1:18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358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8" s="2" customFormat="1" ht="12.95" customHeight="1">
      <c r="A7" s="166"/>
      <c r="B7" s="6" t="s">
        <v>127</v>
      </c>
      <c r="C7" s="7" t="s">
        <v>120</v>
      </c>
      <c r="D7" s="7" t="s">
        <v>109</v>
      </c>
      <c r="E7" s="459" t="s">
        <v>740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8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SUM(I9:I12)</f>
        <v>1130520</v>
      </c>
      <c r="J8" s="244">
        <f t="shared" si="0"/>
        <v>1130520</v>
      </c>
      <c r="K8" s="532">
        <f>SUM(K9:K12)</f>
        <v>1192050</v>
      </c>
      <c r="L8" s="244">
        <f>SUM(L9:L12)</f>
        <v>0</v>
      </c>
      <c r="M8" s="261">
        <f>SUM(M9:M12)</f>
        <v>1192050</v>
      </c>
      <c r="N8" s="217">
        <f t="shared" ref="N8:N31" si="1">IF(J8=0,"",M8/J8*100)</f>
        <v>105.4426281711071</v>
      </c>
      <c r="P8" s="52"/>
      <c r="Q8" s="52"/>
    </row>
    <row r="9" spans="1:18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932180</v>
      </c>
      <c r="J9" s="245">
        <v>932180</v>
      </c>
      <c r="K9" s="391">
        <f>968060+9350+3*450</f>
        <v>978760</v>
      </c>
      <c r="L9" s="245">
        <v>0</v>
      </c>
      <c r="M9" s="262">
        <f>SUM(K9:L9)</f>
        <v>978760</v>
      </c>
      <c r="N9" s="218">
        <f t="shared" si="1"/>
        <v>104.9968890128516</v>
      </c>
      <c r="P9" s="51"/>
    </row>
    <row r="10" spans="1:18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198340</v>
      </c>
      <c r="J10" s="245">
        <v>198340</v>
      </c>
      <c r="K10" s="391">
        <f>202810+7480+3*1000</f>
        <v>213290</v>
      </c>
      <c r="L10" s="245">
        <v>0</v>
      </c>
      <c r="M10" s="262">
        <f t="shared" ref="M10:M11" si="2">SUM(K10:L10)</f>
        <v>213290</v>
      </c>
      <c r="N10" s="218">
        <f t="shared" si="1"/>
        <v>107.53756176262984</v>
      </c>
      <c r="P10" s="51"/>
      <c r="R10" s="441"/>
    </row>
    <row r="11" spans="1:18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8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1"/>
        <v/>
      </c>
    </row>
    <row r="13" spans="1:18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98300</v>
      </c>
      <c r="J13" s="244">
        <f t="shared" si="3"/>
        <v>98300</v>
      </c>
      <c r="K13" s="532">
        <f>K14</f>
        <v>101800</v>
      </c>
      <c r="L13" s="244">
        <f>L14</f>
        <v>0</v>
      </c>
      <c r="M13" s="261">
        <f>M14</f>
        <v>101800</v>
      </c>
      <c r="N13" s="217">
        <f t="shared" si="1"/>
        <v>103.56052899287896</v>
      </c>
    </row>
    <row r="14" spans="1:18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98300</v>
      </c>
      <c r="J14" s="245">
        <v>98300</v>
      </c>
      <c r="K14" s="391">
        <f>101650+3*50</f>
        <v>101800</v>
      </c>
      <c r="L14" s="245">
        <v>0</v>
      </c>
      <c r="M14" s="262">
        <f>SUM(K14:L14)</f>
        <v>101800</v>
      </c>
      <c r="N14" s="218">
        <f t="shared" si="1"/>
        <v>103.56052899287896</v>
      </c>
      <c r="P14" s="51"/>
    </row>
    <row r="15" spans="1:18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1"/>
        <v/>
      </c>
    </row>
    <row r="16" spans="1:18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4">SUM(I17:I26)</f>
        <v>163220</v>
      </c>
      <c r="J16" s="242">
        <f t="shared" ref="J16" si="5">SUM(J17:J26)</f>
        <v>163220</v>
      </c>
      <c r="K16" s="533">
        <f>SUM(K17:K26)</f>
        <v>176080</v>
      </c>
      <c r="L16" s="242">
        <f>SUM(L17:L26)</f>
        <v>0</v>
      </c>
      <c r="M16" s="264">
        <f>SUM(M17:M26)</f>
        <v>176080</v>
      </c>
      <c r="N16" s="217">
        <f t="shared" si="1"/>
        <v>107.87893640485235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2500</v>
      </c>
      <c r="J17" s="245">
        <v>2500</v>
      </c>
      <c r="K17" s="390">
        <v>3500</v>
      </c>
      <c r="L17" s="241">
        <v>0</v>
      </c>
      <c r="M17" s="262">
        <f t="shared" ref="M17:M26" si="6">SUM(K17:L17)</f>
        <v>3500</v>
      </c>
      <c r="N17" s="218">
        <f t="shared" si="1"/>
        <v>140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80000</v>
      </c>
      <c r="J18" s="245">
        <v>80000</v>
      </c>
      <c r="K18" s="390">
        <v>90000</v>
      </c>
      <c r="L18" s="241">
        <v>0</v>
      </c>
      <c r="M18" s="262">
        <f t="shared" si="6"/>
        <v>90000</v>
      </c>
      <c r="N18" s="218">
        <f t="shared" si="1"/>
        <v>112.5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8500</v>
      </c>
      <c r="J19" s="245">
        <v>8500</v>
      </c>
      <c r="K19" s="390">
        <v>8500</v>
      </c>
      <c r="L19" s="241">
        <v>0</v>
      </c>
      <c r="M19" s="262">
        <f t="shared" si="6"/>
        <v>8500</v>
      </c>
      <c r="N19" s="218">
        <f t="shared" si="1"/>
        <v>100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19000</v>
      </c>
      <c r="J20" s="245">
        <v>19000</v>
      </c>
      <c r="K20" s="390">
        <v>19000</v>
      </c>
      <c r="L20" s="241">
        <v>0</v>
      </c>
      <c r="M20" s="262">
        <f t="shared" si="6"/>
        <v>19000</v>
      </c>
      <c r="N20" s="218">
        <f t="shared" si="1"/>
        <v>100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3000</v>
      </c>
      <c r="J21" s="245">
        <v>3000</v>
      </c>
      <c r="K21" s="391">
        <v>3500</v>
      </c>
      <c r="L21" s="245">
        <v>0</v>
      </c>
      <c r="M21" s="262">
        <f t="shared" si="6"/>
        <v>3500</v>
      </c>
      <c r="N21" s="218">
        <f t="shared" si="1"/>
        <v>116.66666666666667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6"/>
        <v>0</v>
      </c>
      <c r="N22" s="218" t="str">
        <f t="shared" si="1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17000</v>
      </c>
      <c r="J23" s="245">
        <v>17000</v>
      </c>
      <c r="K23" s="390">
        <v>20000</v>
      </c>
      <c r="L23" s="241">
        <v>0</v>
      </c>
      <c r="M23" s="262">
        <f t="shared" si="6"/>
        <v>20000</v>
      </c>
      <c r="N23" s="218">
        <f t="shared" si="1"/>
        <v>117.64705882352942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220</v>
      </c>
      <c r="J24" s="245">
        <v>220</v>
      </c>
      <c r="K24" s="390">
        <f>450+1130</f>
        <v>1580</v>
      </c>
      <c r="L24" s="241">
        <v>0</v>
      </c>
      <c r="M24" s="262">
        <f t="shared" si="6"/>
        <v>1580</v>
      </c>
      <c r="N24" s="218">
        <f t="shared" si="1"/>
        <v>718.18181818181813</v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33000</v>
      </c>
      <c r="J25" s="245">
        <v>33000</v>
      </c>
      <c r="K25" s="391">
        <v>30000</v>
      </c>
      <c r="L25" s="245">
        <v>0</v>
      </c>
      <c r="M25" s="262">
        <f t="shared" si="6"/>
        <v>30000</v>
      </c>
      <c r="N25" s="218">
        <f t="shared" si="1"/>
        <v>90.909090909090907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6">
        <v>0</v>
      </c>
      <c r="L26" s="236">
        <v>0</v>
      </c>
      <c r="M26" s="262">
        <f t="shared" si="6"/>
        <v>0</v>
      </c>
      <c r="N26" s="218" t="str">
        <f t="shared" si="1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0"/>
      <c r="L27" s="241"/>
      <c r="M27" s="263"/>
      <c r="N27" s="218" t="str">
        <f t="shared" si="1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7">SUM(I29:I31)</f>
        <v>15000</v>
      </c>
      <c r="J28" s="244">
        <f t="shared" ref="J28" si="8">SUM(J29:J31)</f>
        <v>15000</v>
      </c>
      <c r="K28" s="534">
        <f>SUM(K29:K31)</f>
        <v>43000</v>
      </c>
      <c r="L28" s="240">
        <f>SUM(L29:L31)</f>
        <v>0</v>
      </c>
      <c r="M28" s="264">
        <f>SUM(M29:M31)</f>
        <v>43000</v>
      </c>
      <c r="N28" s="217">
        <f t="shared" si="1"/>
        <v>286.66666666666669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10000</v>
      </c>
      <c r="J29" s="245">
        <v>10000</v>
      </c>
      <c r="K29" s="391">
        <v>10000</v>
      </c>
      <c r="L29" s="245">
        <v>0</v>
      </c>
      <c r="M29" s="262">
        <f t="shared" ref="M29:M30" si="9">SUM(K29:L29)</f>
        <v>10000</v>
      </c>
      <c r="N29" s="218">
        <f t="shared" si="1"/>
        <v>100</v>
      </c>
      <c r="O29" s="45"/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5000</v>
      </c>
      <c r="J30" s="245">
        <v>5000</v>
      </c>
      <c r="K30" s="391">
        <f>13000+20000</f>
        <v>33000</v>
      </c>
      <c r="L30" s="245">
        <v>0</v>
      </c>
      <c r="M30" s="262">
        <f t="shared" si="9"/>
        <v>33000</v>
      </c>
      <c r="N30" s="218">
        <f t="shared" si="1"/>
        <v>660</v>
      </c>
    </row>
    <row r="31" spans="1:15" ht="12.95" customHeight="1">
      <c r="B31" s="10"/>
      <c r="C31" s="11"/>
      <c r="D31" s="11"/>
      <c r="E31" s="170"/>
      <c r="F31" s="184"/>
      <c r="G31" s="203"/>
      <c r="H31" s="472"/>
      <c r="I31" s="245"/>
      <c r="J31" s="245"/>
      <c r="K31" s="390"/>
      <c r="L31" s="241"/>
      <c r="M31" s="263"/>
      <c r="N31" s="218" t="str">
        <f t="shared" si="1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34" t="s">
        <v>818</v>
      </c>
      <c r="J32" s="434" t="s">
        <v>818</v>
      </c>
      <c r="K32" s="548" t="s">
        <v>818</v>
      </c>
      <c r="L32" s="434"/>
      <c r="M32" s="266" t="s">
        <v>818</v>
      </c>
      <c r="N32" s="218"/>
      <c r="O32" s="61"/>
    </row>
    <row r="33" spans="1:17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1407040</v>
      </c>
      <c r="J33" s="172">
        <f>J8+J13+J16+J28</f>
        <v>1407040</v>
      </c>
      <c r="K33" s="401">
        <f>K8+K13+K16+K28</f>
        <v>1512930</v>
      </c>
      <c r="L33" s="172">
        <f>L8+L13+L16+L28</f>
        <v>0</v>
      </c>
      <c r="M33" s="264">
        <f>M8+M13+M16+M28</f>
        <v>1512930</v>
      </c>
      <c r="N33" s="217">
        <f>IF(J33=0,"",M33/J33*100)</f>
        <v>107.52572776893336</v>
      </c>
    </row>
    <row r="34" spans="1:17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  <c r="Q34" s="1" t="s">
        <v>146</v>
      </c>
    </row>
    <row r="35" spans="1:17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403"/>
      <c r="J35" s="163"/>
      <c r="K35" s="400"/>
      <c r="L35" s="163"/>
      <c r="M35" s="263"/>
      <c r="N35" s="218" t="str">
        <f>IF(J35=0,"",M35/J35*100)</f>
        <v/>
      </c>
    </row>
    <row r="36" spans="1:17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7" ht="12.95" customHeight="1">
      <c r="F37" s="186"/>
      <c r="G37" s="205"/>
      <c r="K37" s="516"/>
      <c r="M37" s="270"/>
    </row>
    <row r="38" spans="1:17" ht="12.95" customHeight="1">
      <c r="B38" s="45"/>
      <c r="F38" s="186"/>
      <c r="G38" s="205"/>
      <c r="K38" s="516"/>
      <c r="M38" s="270"/>
    </row>
    <row r="39" spans="1:17" ht="12.95" customHeight="1">
      <c r="B39" s="45"/>
      <c r="F39" s="186"/>
      <c r="G39" s="205"/>
      <c r="M39" s="270"/>
    </row>
    <row r="40" spans="1:17" ht="12.95" customHeight="1">
      <c r="B40" s="45"/>
      <c r="F40" s="186"/>
      <c r="G40" s="205"/>
      <c r="M40" s="270"/>
    </row>
    <row r="41" spans="1:17" ht="12.95" customHeight="1">
      <c r="B41" s="45"/>
      <c r="F41" s="186"/>
      <c r="G41" s="205"/>
      <c r="M41" s="270"/>
    </row>
    <row r="42" spans="1:17" ht="12.95" customHeight="1">
      <c r="B42" s="45"/>
      <c r="F42" s="186"/>
      <c r="G42" s="205"/>
      <c r="M42" s="270"/>
    </row>
    <row r="43" spans="1:17" ht="12.95" customHeight="1">
      <c r="B43" s="45"/>
      <c r="F43" s="186"/>
      <c r="G43" s="205"/>
      <c r="M43" s="270"/>
    </row>
    <row r="44" spans="1:17" ht="12.95" customHeight="1">
      <c r="B44" s="45"/>
      <c r="F44" s="186"/>
      <c r="G44" s="205"/>
      <c r="M44" s="270"/>
    </row>
    <row r="45" spans="1:17" ht="12.95" customHeight="1">
      <c r="B45" s="45"/>
      <c r="F45" s="186"/>
      <c r="G45" s="205"/>
      <c r="M45" s="270"/>
    </row>
    <row r="46" spans="1:17" ht="12.95" customHeight="1">
      <c r="B46" s="45"/>
      <c r="F46" s="186"/>
      <c r="G46" s="205"/>
      <c r="M46" s="270"/>
    </row>
    <row r="47" spans="1:17" ht="12.95" customHeight="1">
      <c r="B47" s="45"/>
      <c r="F47" s="186"/>
      <c r="G47" s="205"/>
      <c r="M47" s="270"/>
    </row>
    <row r="48" spans="1:17" ht="12.95" customHeight="1">
      <c r="B48" s="45"/>
      <c r="F48" s="186"/>
      <c r="G48" s="205"/>
      <c r="M48" s="270"/>
    </row>
    <row r="49" spans="2:13" ht="12.95" customHeight="1">
      <c r="B49" s="45"/>
      <c r="F49" s="186"/>
      <c r="G49" s="205"/>
      <c r="M49" s="270"/>
    </row>
    <row r="50" spans="2:13" ht="12.95" customHeight="1">
      <c r="B50" s="45"/>
      <c r="F50" s="186"/>
      <c r="G50" s="205"/>
      <c r="M50" s="270"/>
    </row>
    <row r="51" spans="2:13" ht="12.95" customHeight="1">
      <c r="B51" s="45"/>
      <c r="F51" s="186"/>
      <c r="G51" s="205"/>
      <c r="M51" s="270"/>
    </row>
    <row r="52" spans="2:13" ht="12.95" customHeight="1">
      <c r="F52" s="186"/>
      <c r="G52" s="205"/>
      <c r="M52" s="270"/>
    </row>
    <row r="53" spans="2:13" ht="12.95" customHeight="1">
      <c r="F53" s="186"/>
      <c r="G53" s="205"/>
      <c r="M53" s="270"/>
    </row>
    <row r="54" spans="2:13" ht="12.95" customHeight="1">
      <c r="F54" s="186"/>
      <c r="G54" s="205"/>
      <c r="M54" s="270"/>
    </row>
    <row r="55" spans="2:13" ht="12.95" customHeight="1">
      <c r="F55" s="186"/>
      <c r="G55" s="205"/>
      <c r="M55" s="270"/>
    </row>
    <row r="56" spans="2:13" ht="12.95" customHeight="1">
      <c r="F56" s="186"/>
      <c r="G56" s="205"/>
      <c r="M56" s="270"/>
    </row>
    <row r="57" spans="2:13" ht="12.95" customHeight="1">
      <c r="F57" s="186"/>
      <c r="G57" s="205"/>
      <c r="M57" s="270"/>
    </row>
    <row r="58" spans="2:13" ht="12.95" customHeight="1">
      <c r="F58" s="186"/>
      <c r="G58" s="205"/>
      <c r="M58" s="270"/>
    </row>
    <row r="59" spans="2:13" ht="12.95" customHeight="1">
      <c r="F59" s="186"/>
      <c r="G59" s="205"/>
      <c r="M59" s="270"/>
    </row>
    <row r="60" spans="2:13" ht="17.100000000000001" customHeight="1">
      <c r="F60" s="186"/>
      <c r="G60" s="205"/>
      <c r="M60" s="270"/>
    </row>
    <row r="61" spans="2:13" ht="14.25">
      <c r="F61" s="186"/>
      <c r="G61" s="205"/>
      <c r="M61" s="270"/>
    </row>
    <row r="62" spans="2:13" ht="14.25">
      <c r="F62" s="186"/>
      <c r="G62" s="205"/>
      <c r="M62" s="270"/>
    </row>
    <row r="63" spans="2:13" ht="14.25">
      <c r="F63" s="186"/>
      <c r="G63" s="205"/>
      <c r="M63" s="270"/>
    </row>
    <row r="64" spans="2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2">
    <mergeCell ref="B2:N2"/>
    <mergeCell ref="N4:N5"/>
    <mergeCell ref="H4:H5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4"/>
  <dimension ref="A1:P96"/>
  <sheetViews>
    <sheetView topLeftCell="A4" zoomScaleSheetLayoutView="10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695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5" t="s">
        <v>127</v>
      </c>
      <c r="C7" s="66" t="s">
        <v>120</v>
      </c>
      <c r="D7" s="66" t="s">
        <v>114</v>
      </c>
      <c r="E7" s="460" t="s">
        <v>740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1045940</v>
      </c>
      <c r="J8" s="244">
        <f t="shared" ref="J8" si="1">SUM(J9:J12)</f>
        <v>1045940</v>
      </c>
      <c r="K8" s="532">
        <f>SUM(K9:K12)</f>
        <v>1052430</v>
      </c>
      <c r="L8" s="244">
        <f>SUM(L9:L12)</f>
        <v>0</v>
      </c>
      <c r="M8" s="261">
        <f>SUM(M9:M12)</f>
        <v>1052430</v>
      </c>
      <c r="N8" s="217">
        <f t="shared" ref="N8:N31" si="2">IF(J8=0,"",M8/J8*100)</f>
        <v>100.62049448343117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850690</v>
      </c>
      <c r="J9" s="245">
        <v>850690</v>
      </c>
      <c r="K9" s="391">
        <f>856500+200+2*790+3*450</f>
        <v>859630</v>
      </c>
      <c r="L9" s="245">
        <v>0</v>
      </c>
      <c r="M9" s="262">
        <f>SUM(K9:L9)</f>
        <v>859630</v>
      </c>
      <c r="N9" s="218">
        <f t="shared" si="2"/>
        <v>101.05091161292599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195250</v>
      </c>
      <c r="J10" s="245">
        <v>195250</v>
      </c>
      <c r="K10" s="391">
        <f>179300+2000+5000+2*1750+3*1000</f>
        <v>192800</v>
      </c>
      <c r="L10" s="245">
        <v>0</v>
      </c>
      <c r="M10" s="262">
        <f t="shared" ref="M10:M11" si="3">SUM(K10:L10)</f>
        <v>192800</v>
      </c>
      <c r="N10" s="218">
        <f t="shared" si="2"/>
        <v>98.745198463508316</v>
      </c>
      <c r="P10" s="53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89480</v>
      </c>
      <c r="J13" s="244">
        <f t="shared" si="4"/>
        <v>89480</v>
      </c>
      <c r="K13" s="532">
        <f>K14</f>
        <v>90180</v>
      </c>
      <c r="L13" s="244">
        <f>L14</f>
        <v>0</v>
      </c>
      <c r="M13" s="261">
        <f>M14</f>
        <v>90180</v>
      </c>
      <c r="N13" s="217">
        <f t="shared" si="2"/>
        <v>100.78229772016094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89480</v>
      </c>
      <c r="J14" s="245">
        <v>89480</v>
      </c>
      <c r="K14" s="391">
        <f>89850+2*90+3*50</f>
        <v>90180</v>
      </c>
      <c r="L14" s="245">
        <v>0</v>
      </c>
      <c r="M14" s="262">
        <f>SUM(K14:L14)</f>
        <v>90180</v>
      </c>
      <c r="N14" s="218">
        <f t="shared" si="2"/>
        <v>100.78229772016094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180000</v>
      </c>
      <c r="J16" s="242">
        <f t="shared" ref="J16" si="6">SUM(J17:J26)</f>
        <v>180000</v>
      </c>
      <c r="K16" s="533">
        <f>SUM(K17:K26)</f>
        <v>186530</v>
      </c>
      <c r="L16" s="242">
        <f>SUM(L17:L26)</f>
        <v>0</v>
      </c>
      <c r="M16" s="264">
        <f>SUM(M17:M26)</f>
        <v>186530</v>
      </c>
      <c r="N16" s="217">
        <f t="shared" si="2"/>
        <v>103.62777777777778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2500</v>
      </c>
      <c r="J17" s="245">
        <v>2500</v>
      </c>
      <c r="K17" s="391">
        <v>3500</v>
      </c>
      <c r="L17" s="245">
        <v>0</v>
      </c>
      <c r="M17" s="262">
        <f t="shared" ref="M17:M26" si="7">SUM(K17:L17)</f>
        <v>3500</v>
      </c>
      <c r="N17" s="218">
        <f t="shared" si="2"/>
        <v>140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100000</v>
      </c>
      <c r="J18" s="245">
        <v>100000</v>
      </c>
      <c r="K18" s="390">
        <v>100000</v>
      </c>
      <c r="L18" s="241">
        <v>0</v>
      </c>
      <c r="M18" s="262">
        <f t="shared" si="7"/>
        <v>100000</v>
      </c>
      <c r="N18" s="218">
        <f t="shared" si="2"/>
        <v>100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13500</v>
      </c>
      <c r="J19" s="245">
        <v>13500</v>
      </c>
      <c r="K19" s="391">
        <v>14500</v>
      </c>
      <c r="L19" s="245">
        <v>0</v>
      </c>
      <c r="M19" s="262">
        <f t="shared" si="7"/>
        <v>14500</v>
      </c>
      <c r="N19" s="218">
        <f t="shared" si="2"/>
        <v>107.40740740740742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21000</v>
      </c>
      <c r="J20" s="245">
        <v>21000</v>
      </c>
      <c r="K20" s="391">
        <v>24000</v>
      </c>
      <c r="L20" s="245">
        <v>0</v>
      </c>
      <c r="M20" s="262">
        <f t="shared" si="7"/>
        <v>24000</v>
      </c>
      <c r="N20" s="218">
        <f t="shared" si="2"/>
        <v>114.28571428571428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500</v>
      </c>
      <c r="J21" s="245">
        <v>500</v>
      </c>
      <c r="K21" s="391">
        <v>500</v>
      </c>
      <c r="L21" s="245">
        <v>0</v>
      </c>
      <c r="M21" s="262">
        <f t="shared" si="7"/>
        <v>500</v>
      </c>
      <c r="N21" s="218">
        <f t="shared" si="2"/>
        <v>100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7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28000</v>
      </c>
      <c r="J23" s="245">
        <v>28000</v>
      </c>
      <c r="K23" s="391">
        <v>28000</v>
      </c>
      <c r="L23" s="245">
        <v>0</v>
      </c>
      <c r="M23" s="262">
        <f t="shared" si="7"/>
        <v>28000</v>
      </c>
      <c r="N23" s="218">
        <f t="shared" si="2"/>
        <v>100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1030</v>
      </c>
      <c r="L24" s="245">
        <v>0</v>
      </c>
      <c r="M24" s="262">
        <f t="shared" si="7"/>
        <v>1030</v>
      </c>
      <c r="N24" s="218" t="str">
        <f t="shared" si="2"/>
        <v/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14500</v>
      </c>
      <c r="J25" s="245">
        <v>14500</v>
      </c>
      <c r="K25" s="391">
        <v>15000</v>
      </c>
      <c r="L25" s="245">
        <v>0</v>
      </c>
      <c r="M25" s="262">
        <f t="shared" si="7"/>
        <v>15000</v>
      </c>
      <c r="N25" s="218">
        <f t="shared" si="2"/>
        <v>103.44827586206897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2">
        <v>0</v>
      </c>
      <c r="L26" s="238">
        <v>0</v>
      </c>
      <c r="M26" s="262">
        <f t="shared" si="7"/>
        <v>0</v>
      </c>
      <c r="N26" s="218" t="str">
        <f t="shared" si="2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SUM(I29:I30)</f>
        <v>33610</v>
      </c>
      <c r="J28" s="244">
        <f t="shared" ref="J28" si="9">SUM(J29:J30)</f>
        <v>33610</v>
      </c>
      <c r="K28" s="532">
        <f>SUM(K29:K30)</f>
        <v>40000</v>
      </c>
      <c r="L28" s="244">
        <f>SUM(L29:L30)</f>
        <v>0</v>
      </c>
      <c r="M28" s="264">
        <f>SUM(M29:M30)</f>
        <v>40000</v>
      </c>
      <c r="N28" s="217">
        <f t="shared" si="2"/>
        <v>119.01219875037192</v>
      </c>
    </row>
    <row r="29" spans="1:15" ht="12.95" customHeight="1">
      <c r="B29" s="10"/>
      <c r="C29" s="11"/>
      <c r="D29" s="11"/>
      <c r="E29" s="170"/>
      <c r="F29" s="187">
        <v>821200</v>
      </c>
      <c r="G29" s="206"/>
      <c r="H29" s="475" t="s">
        <v>90</v>
      </c>
      <c r="I29" s="245">
        <v>18610</v>
      </c>
      <c r="J29" s="245">
        <v>18610</v>
      </c>
      <c r="K29" s="391">
        <v>10000</v>
      </c>
      <c r="L29" s="245">
        <v>0</v>
      </c>
      <c r="M29" s="262">
        <f t="shared" ref="M29:M30" si="10">SUM(K29:L29)</f>
        <v>10000</v>
      </c>
      <c r="N29" s="218">
        <f t="shared" si="2"/>
        <v>53.734551316496507</v>
      </c>
      <c r="O29" s="45"/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15000</v>
      </c>
      <c r="J30" s="245">
        <v>15000</v>
      </c>
      <c r="K30" s="391">
        <f>10000+20000</f>
        <v>30000</v>
      </c>
      <c r="L30" s="245">
        <v>0</v>
      </c>
      <c r="M30" s="262">
        <f t="shared" si="10"/>
        <v>30000</v>
      </c>
      <c r="N30" s="218">
        <f t="shared" si="2"/>
        <v>200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5"/>
      <c r="J31" s="245"/>
      <c r="K31" s="391"/>
      <c r="L31" s="245"/>
      <c r="M31" s="263"/>
      <c r="N31" s="218" t="str">
        <f t="shared" si="2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08" t="s">
        <v>819</v>
      </c>
      <c r="J32" s="408" t="s">
        <v>819</v>
      </c>
      <c r="K32" s="535" t="s">
        <v>905</v>
      </c>
      <c r="L32" s="434"/>
      <c r="M32" s="266" t="s">
        <v>905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1349030</v>
      </c>
      <c r="J33" s="172">
        <f>J8+J13+J16+J28</f>
        <v>1349030</v>
      </c>
      <c r="K33" s="401">
        <f>K8+K13+K16+K28</f>
        <v>1369140</v>
      </c>
      <c r="L33" s="172">
        <f>L8+L13+L16+L28</f>
        <v>0</v>
      </c>
      <c r="M33" s="264">
        <f>M8+M13+M16+M28</f>
        <v>1369140</v>
      </c>
      <c r="N33" s="217">
        <f>IF(J33=0,"",M33/J33*100)</f>
        <v>101.49070072570663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/>
      <c r="J34" s="15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B42" s="45"/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B1:AC302"/>
  <sheetViews>
    <sheetView tabSelected="1" workbookViewId="0">
      <selection activeCell="M8" sqref="M8"/>
    </sheetView>
  </sheetViews>
  <sheetFormatPr defaultRowHeight="15" customHeight="1"/>
  <cols>
    <col min="2" max="2" width="70.28515625" customWidth="1"/>
    <col min="3" max="3" width="13.140625" customWidth="1"/>
    <col min="4" max="5" width="18.7109375" customWidth="1"/>
    <col min="6" max="6" width="20.7109375" customWidth="1"/>
    <col min="7" max="7" width="9.28515625" customWidth="1"/>
    <col min="8" max="8" width="6.42578125" customWidth="1"/>
    <col min="10" max="11" width="15.7109375" customWidth="1"/>
    <col min="12" max="12" width="8.7109375" customWidth="1"/>
  </cols>
  <sheetData>
    <row r="1" spans="2:29" ht="15" customHeight="1">
      <c r="B1" s="845" t="s">
        <v>915</v>
      </c>
      <c r="C1" s="846"/>
      <c r="D1" s="829"/>
      <c r="E1" s="829"/>
      <c r="F1" s="829"/>
      <c r="G1" s="82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2:29" ht="15" customHeight="1">
      <c r="B2" s="829"/>
      <c r="C2" s="829"/>
      <c r="D2" s="829"/>
      <c r="E2" s="829"/>
      <c r="F2" s="829"/>
      <c r="G2" s="829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2:29" ht="12" customHeight="1">
      <c r="B3" s="829"/>
      <c r="C3" s="829"/>
      <c r="D3" s="829"/>
      <c r="E3" s="829"/>
      <c r="F3" s="829"/>
      <c r="G3" s="829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2:29" ht="9" hidden="1" customHeight="1">
      <c r="B4" s="829"/>
      <c r="C4" s="829"/>
      <c r="D4" s="829"/>
      <c r="E4" s="829"/>
      <c r="F4" s="829"/>
      <c r="G4" s="829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2:29" ht="18.75" customHeight="1">
      <c r="B5" s="847" t="s">
        <v>846</v>
      </c>
      <c r="C5" s="847"/>
      <c r="D5" s="847"/>
      <c r="E5" s="847"/>
      <c r="F5" s="847"/>
      <c r="G5" s="8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2:29" ht="15" customHeight="1">
      <c r="B6" s="848" t="s">
        <v>847</v>
      </c>
      <c r="C6" s="848"/>
      <c r="D6" s="848"/>
      <c r="E6" s="848"/>
      <c r="F6" s="848"/>
      <c r="G6" s="848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2:29" ht="15" customHeight="1">
      <c r="B7" s="89" t="s">
        <v>162</v>
      </c>
      <c r="C7" s="89"/>
      <c r="D7" s="41"/>
      <c r="E7" s="41"/>
      <c r="F7" s="41"/>
      <c r="G7" s="520"/>
      <c r="H7" s="520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2:29" ht="6.75" customHeight="1">
      <c r="B8" s="34"/>
      <c r="C8" s="34"/>
      <c r="D8" s="520"/>
      <c r="E8" s="520"/>
      <c r="F8" s="520"/>
      <c r="G8" s="520"/>
      <c r="H8" s="520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2:29" ht="15" customHeight="1">
      <c r="B9" s="34" t="s">
        <v>163</v>
      </c>
      <c r="C9" s="34"/>
      <c r="D9" s="520"/>
      <c r="E9" s="520"/>
      <c r="F9" s="520"/>
      <c r="G9" s="520"/>
      <c r="H9" s="520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2:29" ht="17.25" customHeight="1">
      <c r="B10" s="844" t="s">
        <v>848</v>
      </c>
      <c r="C10" s="849"/>
      <c r="D10" s="849"/>
      <c r="E10" s="849"/>
      <c r="F10" s="849"/>
      <c r="G10" s="849"/>
      <c r="H10" s="82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2:29" ht="12.75" customHeight="1">
      <c r="B11" s="576"/>
      <c r="C11" s="376"/>
      <c r="D11" s="376"/>
      <c r="E11" s="376"/>
      <c r="F11" s="520"/>
      <c r="G11" s="520"/>
      <c r="H11" s="520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2:29" s="302" customFormat="1" ht="41.25" customHeight="1">
      <c r="B12" s="303" t="s">
        <v>204</v>
      </c>
      <c r="C12" s="304" t="s">
        <v>549</v>
      </c>
      <c r="D12" s="304" t="s">
        <v>895</v>
      </c>
      <c r="E12" s="304" t="s">
        <v>796</v>
      </c>
      <c r="F12" s="345" t="s">
        <v>849</v>
      </c>
      <c r="G12" s="304" t="s">
        <v>490</v>
      </c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</row>
    <row r="13" spans="2:29" s="353" customFormat="1" ht="10.5" customHeight="1">
      <c r="B13" s="354">
        <v>1</v>
      </c>
      <c r="C13" s="354"/>
      <c r="D13" s="355">
        <v>2</v>
      </c>
      <c r="E13" s="355">
        <v>3</v>
      </c>
      <c r="F13" s="355">
        <v>4</v>
      </c>
      <c r="G13" s="354">
        <v>5</v>
      </c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</row>
    <row r="14" spans="2:29" s="302" customFormat="1" ht="14.1" customHeight="1">
      <c r="B14" s="306" t="s">
        <v>562</v>
      </c>
      <c r="C14" s="306"/>
      <c r="D14" s="307">
        <f>D15+D16+D17+D18+D19</f>
        <v>47752350</v>
      </c>
      <c r="E14" s="307">
        <f>E15+E16+E17+E18+E19</f>
        <v>47752350</v>
      </c>
      <c r="F14" s="346">
        <f>F15+F16+F17+F18+F19</f>
        <v>49780350</v>
      </c>
      <c r="G14" s="308">
        <f>IF(E14=0,,F14/E14*100)</f>
        <v>104.24691140854847</v>
      </c>
      <c r="H14" s="108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</row>
    <row r="15" spans="2:29" s="302" customFormat="1" ht="12.95" customHeight="1">
      <c r="B15" s="309" t="s">
        <v>550</v>
      </c>
      <c r="C15" s="310">
        <v>710</v>
      </c>
      <c r="D15" s="311">
        <f>Prihodi!D5</f>
        <v>38216270</v>
      </c>
      <c r="E15" s="311">
        <f>Prihodi!E5</f>
        <v>38216270</v>
      </c>
      <c r="F15" s="299">
        <f>Prihodi!F5</f>
        <v>38506740</v>
      </c>
      <c r="G15" s="312">
        <f t="shared" ref="G15:G42" si="0">IF(E15=0,,F15/E15*100)</f>
        <v>100.76006894445743</v>
      </c>
      <c r="H15" s="108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2:29" s="302" customFormat="1" ht="12.95" customHeight="1">
      <c r="B16" s="309" t="s">
        <v>551</v>
      </c>
      <c r="C16" s="310">
        <v>720</v>
      </c>
      <c r="D16" s="311">
        <f>Prihodi!D62</f>
        <v>2982770</v>
      </c>
      <c r="E16" s="311">
        <f>Prihodi!E62</f>
        <v>2982770</v>
      </c>
      <c r="F16" s="299">
        <f>Prihodi!F62</f>
        <v>3296100</v>
      </c>
      <c r="G16" s="312">
        <f t="shared" si="0"/>
        <v>110.50466512671109</v>
      </c>
      <c r="H16" s="108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</row>
    <row r="17" spans="2:29" s="302" customFormat="1" ht="12.95" customHeight="1">
      <c r="B17" s="309" t="s">
        <v>552</v>
      </c>
      <c r="C17" s="310">
        <v>730</v>
      </c>
      <c r="D17" s="311">
        <f>Prihodi!D175</f>
        <v>6310621</v>
      </c>
      <c r="E17" s="311">
        <f>Prihodi!E175</f>
        <v>6310621</v>
      </c>
      <c r="F17" s="299">
        <f>Prihodi!F175</f>
        <v>7977120</v>
      </c>
      <c r="G17" s="312">
        <f t="shared" si="0"/>
        <v>126.40784480639861</v>
      </c>
      <c r="H17" s="108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</row>
    <row r="18" spans="2:29" s="302" customFormat="1" ht="12.95" customHeight="1">
      <c r="B18" s="309" t="s">
        <v>553</v>
      </c>
      <c r="C18" s="310">
        <v>740</v>
      </c>
      <c r="D18" s="311">
        <f>Prihodi!D209</f>
        <v>242332</v>
      </c>
      <c r="E18" s="311">
        <f>Prihodi!E209</f>
        <v>242332</v>
      </c>
      <c r="F18" s="299">
        <f>Prihodi!F209</f>
        <v>0</v>
      </c>
      <c r="G18" s="312">
        <f t="shared" si="0"/>
        <v>0</v>
      </c>
      <c r="H18" s="108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</row>
    <row r="19" spans="2:29" s="302" customFormat="1" ht="12.95" customHeight="1">
      <c r="B19" s="309" t="s">
        <v>554</v>
      </c>
      <c r="C19" s="310">
        <v>770</v>
      </c>
      <c r="D19" s="311">
        <f>Prihodi!D232</f>
        <v>357</v>
      </c>
      <c r="E19" s="311">
        <f>Prihodi!E232</f>
        <v>357</v>
      </c>
      <c r="F19" s="299">
        <f>Prihodi!F232</f>
        <v>390</v>
      </c>
      <c r="G19" s="312">
        <f t="shared" si="0"/>
        <v>109.24369747899159</v>
      </c>
      <c r="H19" s="108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</row>
    <row r="20" spans="2:29" s="302" customFormat="1" ht="14.1" customHeight="1">
      <c r="B20" s="317" t="s">
        <v>563</v>
      </c>
      <c r="C20" s="318"/>
      <c r="D20" s="319">
        <f>SUM(D21:D27)</f>
        <v>45113780</v>
      </c>
      <c r="E20" s="319">
        <f>SUM(E21:E27)</f>
        <v>45113780</v>
      </c>
      <c r="F20" s="347">
        <f>SUM(F21:F27)</f>
        <v>46627650</v>
      </c>
      <c r="G20" s="320">
        <f t="shared" si="0"/>
        <v>103.35567092804017</v>
      </c>
      <c r="H20" s="108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</row>
    <row r="21" spans="2:29" s="321" customFormat="1" ht="12.95" customHeight="1">
      <c r="B21" s="313" t="s">
        <v>555</v>
      </c>
      <c r="C21" s="314">
        <v>600</v>
      </c>
      <c r="D21" s="311">
        <f>Rashodi!F9</f>
        <v>648000</v>
      </c>
      <c r="E21" s="311">
        <f>Rashodi!G9</f>
        <v>648000</v>
      </c>
      <c r="F21" s="299">
        <f>Rashodi!J9</f>
        <v>460000</v>
      </c>
      <c r="G21" s="316">
        <f t="shared" si="0"/>
        <v>70.987654320987659</v>
      </c>
      <c r="H21" s="322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</row>
    <row r="22" spans="2:29" s="321" customFormat="1" ht="12.95" customHeight="1">
      <c r="B22" s="313" t="s">
        <v>556</v>
      </c>
      <c r="C22" s="314">
        <v>611</v>
      </c>
      <c r="D22" s="311">
        <f>Rashodi!F15</f>
        <v>23584900</v>
      </c>
      <c r="E22" s="311">
        <f>Rashodi!G15</f>
        <v>23584900</v>
      </c>
      <c r="F22" s="299">
        <f>Rashodi!J15</f>
        <v>24964290</v>
      </c>
      <c r="G22" s="316">
        <f t="shared" si="0"/>
        <v>105.8486150036676</v>
      </c>
      <c r="H22" s="322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</row>
    <row r="23" spans="2:29" s="302" customFormat="1" ht="12.95" customHeight="1">
      <c r="B23" s="313" t="s">
        <v>557</v>
      </c>
      <c r="C23" s="314">
        <v>612</v>
      </c>
      <c r="D23" s="315">
        <f>Rashodi!F21</f>
        <v>2506300</v>
      </c>
      <c r="E23" s="315">
        <f>Rashodi!G21</f>
        <v>2506300</v>
      </c>
      <c r="F23" s="300">
        <f>Rashodi!J21</f>
        <v>2556670</v>
      </c>
      <c r="G23" s="316">
        <f t="shared" si="0"/>
        <v>102.00973546662411</v>
      </c>
      <c r="H23" s="108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</row>
    <row r="24" spans="2:29" s="302" customFormat="1" ht="12.95" customHeight="1">
      <c r="B24" s="313" t="s">
        <v>558</v>
      </c>
      <c r="C24" s="314">
        <v>613</v>
      </c>
      <c r="D24" s="315">
        <f>Rashodi!F25</f>
        <v>4373800</v>
      </c>
      <c r="E24" s="315">
        <f>Rashodi!G25</f>
        <v>4373800</v>
      </c>
      <c r="F24" s="300">
        <f>Rashodi!J25</f>
        <v>4878260</v>
      </c>
      <c r="G24" s="316">
        <f>IF(E24=0,,F24/E24*100)</f>
        <v>111.53367780877042</v>
      </c>
      <c r="H24" s="108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</row>
    <row r="25" spans="2:29" s="302" customFormat="1" ht="12.95" customHeight="1">
      <c r="B25" s="313" t="s">
        <v>559</v>
      </c>
      <c r="C25" s="314">
        <v>614</v>
      </c>
      <c r="D25" s="315">
        <f>Rashodi!F50</f>
        <v>12716000</v>
      </c>
      <c r="E25" s="315">
        <f>Rashodi!G50</f>
        <v>12716000</v>
      </c>
      <c r="F25" s="300">
        <f>Rashodi!J50</f>
        <v>12388000</v>
      </c>
      <c r="G25" s="316">
        <f t="shared" si="0"/>
        <v>97.420572507077694</v>
      </c>
      <c r="H25" s="108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</row>
    <row r="26" spans="2:29" s="302" customFormat="1" ht="12.95" customHeight="1">
      <c r="B26" s="313" t="s">
        <v>560</v>
      </c>
      <c r="C26" s="314">
        <v>615</v>
      </c>
      <c r="D26" s="315">
        <f>Rashodi!F90</f>
        <v>1250000</v>
      </c>
      <c r="E26" s="315">
        <f>Rashodi!G90</f>
        <v>1250000</v>
      </c>
      <c r="F26" s="300">
        <f>Rashodi!J90</f>
        <v>1350000</v>
      </c>
      <c r="G26" s="316">
        <f>IF(E26=0,,F26/E26*100)</f>
        <v>108</v>
      </c>
      <c r="H26" s="108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</row>
    <row r="27" spans="2:29" s="302" customFormat="1" ht="12.95" customHeight="1" thickBot="1">
      <c r="B27" s="324" t="s">
        <v>561</v>
      </c>
      <c r="C27" s="325">
        <v>616</v>
      </c>
      <c r="D27" s="326">
        <f>Rashodi!F96</f>
        <v>34780</v>
      </c>
      <c r="E27" s="326">
        <f>Rashodi!G96</f>
        <v>34780</v>
      </c>
      <c r="F27" s="301">
        <f>Rashodi!J96</f>
        <v>30430</v>
      </c>
      <c r="G27" s="327">
        <f t="shared" si="0"/>
        <v>87.492811960897072</v>
      </c>
      <c r="H27" s="108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</row>
    <row r="28" spans="2:29" s="302" customFormat="1" ht="14.1" customHeight="1" thickTop="1" thickBot="1">
      <c r="B28" s="328" t="s">
        <v>564</v>
      </c>
      <c r="C28" s="329"/>
      <c r="D28" s="330">
        <f>D14-D20</f>
        <v>2638570</v>
      </c>
      <c r="E28" s="330">
        <f>E14-E20</f>
        <v>2638570</v>
      </c>
      <c r="F28" s="348">
        <f>F14-F20</f>
        <v>3152700</v>
      </c>
      <c r="G28" s="331">
        <f t="shared" si="0"/>
        <v>119.48517568228245</v>
      </c>
      <c r="H28" s="108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</row>
    <row r="29" spans="2:29" s="302" customFormat="1" ht="14.1" customHeight="1" thickTop="1">
      <c r="B29" s="317" t="s">
        <v>565</v>
      </c>
      <c r="C29" s="318">
        <v>811</v>
      </c>
      <c r="D29" s="319">
        <f>Prihodi!D238</f>
        <v>580</v>
      </c>
      <c r="E29" s="319">
        <f>Prihodi!E238</f>
        <v>580</v>
      </c>
      <c r="F29" s="347">
        <f>Prihodi!F238</f>
        <v>0</v>
      </c>
      <c r="G29" s="320">
        <f t="shared" si="0"/>
        <v>0</v>
      </c>
      <c r="H29" s="108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</row>
    <row r="30" spans="2:29" s="302" customFormat="1" ht="14.1" customHeight="1">
      <c r="B30" s="317" t="s">
        <v>566</v>
      </c>
      <c r="C30" s="318">
        <v>821</v>
      </c>
      <c r="D30" s="319">
        <f>D31</f>
        <v>2118330</v>
      </c>
      <c r="E30" s="319">
        <f>E31</f>
        <v>2118330</v>
      </c>
      <c r="F30" s="347">
        <f>F31</f>
        <v>2630200</v>
      </c>
      <c r="G30" s="320">
        <f t="shared" si="0"/>
        <v>124.16384604853823</v>
      </c>
      <c r="H30" s="108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</row>
    <row r="31" spans="2:29" s="302" customFormat="1" ht="12.95" customHeight="1" thickBot="1">
      <c r="B31" s="313" t="s">
        <v>443</v>
      </c>
      <c r="C31" s="314">
        <v>821</v>
      </c>
      <c r="D31" s="315">
        <f>Rashodi!F100</f>
        <v>2118330</v>
      </c>
      <c r="E31" s="315">
        <f>Rashodi!G100</f>
        <v>2118330</v>
      </c>
      <c r="F31" s="300">
        <f>Rashodi!J100</f>
        <v>2630200</v>
      </c>
      <c r="G31" s="316">
        <f>IF(E31=0,,F31/E31*100)</f>
        <v>124.16384604853823</v>
      </c>
      <c r="H31" s="108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</row>
    <row r="32" spans="2:29" s="302" customFormat="1" ht="14.1" customHeight="1" thickTop="1" thickBot="1">
      <c r="B32" s="332" t="s">
        <v>567</v>
      </c>
      <c r="C32" s="333"/>
      <c r="D32" s="334">
        <f>D29-D30</f>
        <v>-2117750</v>
      </c>
      <c r="E32" s="334">
        <f>E29-E30</f>
        <v>-2117750</v>
      </c>
      <c r="F32" s="349">
        <f>F29-F30</f>
        <v>-2630200</v>
      </c>
      <c r="G32" s="335">
        <f t="shared" si="0"/>
        <v>124.19785149333018</v>
      </c>
      <c r="H32" s="108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</row>
    <row r="33" spans="2:29" s="302" customFormat="1" ht="19.5" customHeight="1" thickTop="1" thickBot="1">
      <c r="B33" s="328" t="s">
        <v>568</v>
      </c>
      <c r="C33" s="329"/>
      <c r="D33" s="336">
        <f>D28+D32</f>
        <v>520820</v>
      </c>
      <c r="E33" s="336">
        <f>E28+E32</f>
        <v>520820</v>
      </c>
      <c r="F33" s="350">
        <f>F28+F32</f>
        <v>522500</v>
      </c>
      <c r="G33" s="331">
        <f t="shared" si="0"/>
        <v>100.32256825774739</v>
      </c>
      <c r="H33" s="108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</row>
    <row r="34" spans="2:29" s="302" customFormat="1" ht="14.1" customHeight="1" thickTop="1">
      <c r="B34" s="317" t="s">
        <v>569</v>
      </c>
      <c r="C34" s="318" t="s">
        <v>548</v>
      </c>
      <c r="D34" s="319">
        <f>0</f>
        <v>0</v>
      </c>
      <c r="E34" s="319">
        <f>0</f>
        <v>0</v>
      </c>
      <c r="F34" s="347">
        <f>0</f>
        <v>0</v>
      </c>
      <c r="G34" s="320">
        <f t="shared" si="0"/>
        <v>0</v>
      </c>
      <c r="H34" s="108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</row>
    <row r="35" spans="2:29" s="302" customFormat="1" ht="14.1" customHeight="1">
      <c r="B35" s="337" t="s">
        <v>790</v>
      </c>
      <c r="C35" s="338" t="s">
        <v>547</v>
      </c>
      <c r="D35" s="339">
        <f>D36</f>
        <v>512970</v>
      </c>
      <c r="E35" s="339">
        <f>E36</f>
        <v>512970</v>
      </c>
      <c r="F35" s="351">
        <f>F36</f>
        <v>518890</v>
      </c>
      <c r="G35" s="320">
        <f t="shared" si="0"/>
        <v>101.15406359046337</v>
      </c>
      <c r="H35" s="108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</row>
    <row r="36" spans="2:29" s="302" customFormat="1" ht="12.95" customHeight="1" thickBot="1">
      <c r="B36" s="313" t="s">
        <v>318</v>
      </c>
      <c r="C36" s="314">
        <v>823</v>
      </c>
      <c r="D36" s="315">
        <f>Rashodi!F108</f>
        <v>512970</v>
      </c>
      <c r="E36" s="315">
        <f>Rashodi!G108</f>
        <v>512970</v>
      </c>
      <c r="F36" s="300">
        <f>Rashodi!J108</f>
        <v>518890</v>
      </c>
      <c r="G36" s="316">
        <f t="shared" si="0"/>
        <v>101.15406359046337</v>
      </c>
      <c r="H36" s="108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</row>
    <row r="37" spans="2:29" s="302" customFormat="1" ht="14.1" customHeight="1" thickTop="1" thickBot="1">
      <c r="B37" s="332" t="s">
        <v>570</v>
      </c>
      <c r="C37" s="333"/>
      <c r="D37" s="334">
        <f>D34-D35</f>
        <v>-512970</v>
      </c>
      <c r="E37" s="334">
        <f>E34-E35</f>
        <v>-512970</v>
      </c>
      <c r="F37" s="349">
        <f>F34-F35</f>
        <v>-518890</v>
      </c>
      <c r="G37" s="335">
        <f t="shared" si="0"/>
        <v>101.15406359046337</v>
      </c>
      <c r="H37" s="108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</row>
    <row r="38" spans="2:29" s="302" customFormat="1" ht="14.1" customHeight="1" thickTop="1" thickBot="1">
      <c r="B38" s="332" t="s">
        <v>571</v>
      </c>
      <c r="C38" s="333"/>
      <c r="D38" s="334">
        <f>D33+D37</f>
        <v>7850</v>
      </c>
      <c r="E38" s="334">
        <f>E33+E37</f>
        <v>7850</v>
      </c>
      <c r="F38" s="349">
        <f>F33+F37</f>
        <v>3610</v>
      </c>
      <c r="G38" s="517">
        <f t="shared" si="0"/>
        <v>45.987261146496813</v>
      </c>
      <c r="H38" s="108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</row>
    <row r="39" spans="2:29" s="302" customFormat="1" ht="9" customHeight="1" thickTop="1">
      <c r="B39" s="340"/>
      <c r="C39" s="341"/>
      <c r="D39" s="342"/>
      <c r="E39" s="342"/>
      <c r="F39" s="352"/>
      <c r="G39" s="343"/>
      <c r="H39" s="108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</row>
    <row r="40" spans="2:29" s="302" customFormat="1" ht="14.1" customHeight="1">
      <c r="B40" s="317" t="s">
        <v>572</v>
      </c>
      <c r="C40" s="318"/>
      <c r="D40" s="319">
        <f>D14+D29+D34</f>
        <v>47752930</v>
      </c>
      <c r="E40" s="319">
        <f>E14+E29+E34</f>
        <v>47752930</v>
      </c>
      <c r="F40" s="347">
        <f>F14+F29+F34</f>
        <v>49780350</v>
      </c>
      <c r="G40" s="320">
        <f t="shared" si="0"/>
        <v>104.24564524103548</v>
      </c>
      <c r="H40" s="108"/>
      <c r="I40" s="344"/>
      <c r="J40" s="344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</row>
    <row r="41" spans="2:29" s="302" customFormat="1" ht="14.1" customHeight="1">
      <c r="B41" s="317" t="s">
        <v>573</v>
      </c>
      <c r="C41" s="318"/>
      <c r="D41" s="319">
        <f>D20+D30+D35</f>
        <v>47745080</v>
      </c>
      <c r="E41" s="319">
        <f>E20+E30+E35</f>
        <v>47745080</v>
      </c>
      <c r="F41" s="347">
        <f>F20+F30+F35</f>
        <v>49776740</v>
      </c>
      <c r="G41" s="320">
        <f t="shared" si="0"/>
        <v>104.25522378431454</v>
      </c>
      <c r="H41" s="108"/>
      <c r="I41" s="344"/>
      <c r="J41" s="344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</row>
    <row r="42" spans="2:29" s="302" customFormat="1" ht="14.1" customHeight="1">
      <c r="B42" s="317" t="s">
        <v>574</v>
      </c>
      <c r="C42" s="318"/>
      <c r="D42" s="319">
        <f>D40-D41</f>
        <v>7850</v>
      </c>
      <c r="E42" s="319">
        <f>E40-E41</f>
        <v>7850</v>
      </c>
      <c r="F42" s="347">
        <f>F40-F41</f>
        <v>3610</v>
      </c>
      <c r="G42" s="518">
        <f t="shared" si="0"/>
        <v>45.987261146496813</v>
      </c>
      <c r="I42" s="305"/>
      <c r="J42" s="344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</row>
    <row r="43" spans="2:29" ht="7.5" customHeight="1">
      <c r="B43" s="90"/>
      <c r="C43" s="90"/>
      <c r="D43" s="125"/>
      <c r="E43" s="125"/>
      <c r="F43" s="125"/>
      <c r="G43" s="12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2:29" ht="15" customHeight="1">
      <c r="B44" s="34" t="s">
        <v>179</v>
      </c>
      <c r="C44" s="34"/>
      <c r="D44" s="520"/>
      <c r="E44" s="376"/>
      <c r="F44" s="57"/>
      <c r="G44" s="520"/>
      <c r="H44" s="520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2:29" ht="4.5" customHeight="1">
      <c r="B45" s="520"/>
      <c r="C45" s="520"/>
      <c r="D45" s="520"/>
      <c r="E45" s="520"/>
      <c r="F45" s="522"/>
      <c r="G45" s="520"/>
      <c r="H45" s="520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2:29" ht="15.75" customHeight="1">
      <c r="B46" s="844" t="s">
        <v>850</v>
      </c>
      <c r="C46" s="844"/>
      <c r="D46" s="844"/>
      <c r="E46" s="844"/>
      <c r="F46" s="844"/>
      <c r="G46" s="844"/>
      <c r="H46" s="844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2:29" ht="15" customHeight="1">
      <c r="B47" s="48"/>
      <c r="C47" s="4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2:29" ht="15" customHeight="1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2:29" ht="15" customHeight="1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2:29" ht="15" customHeight="1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2:29" ht="15" customHeight="1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2:29" ht="1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2:29" ht="15" customHeight="1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2:29" ht="15" customHeight="1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2:29" ht="15" customHeight="1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2:29" ht="15" customHeight="1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2:29" ht="15" customHeight="1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2:29" ht="1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2:29" ht="1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2:29" ht="1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2:29" ht="1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2:29" ht="1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2:29" ht="15" customHeight="1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2:29" ht="15" customHeight="1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2:29" ht="15" customHeight="1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2:29" ht="15" customHeight="1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2:29" ht="15" customHeight="1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2:29" ht="15" customHeight="1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2:29" ht="15" customHeight="1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2:29" ht="15" customHeight="1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2:29" ht="15" customHeight="1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2:29" ht="15" customHeight="1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2:29" ht="15" customHeight="1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2:29" ht="15" customHeight="1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2:29" ht="15" customHeight="1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2:29" ht="15" customHeight="1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2:29" ht="15" customHeight="1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spans="2:29" ht="15" customHeight="1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2:29" ht="15" customHeight="1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  <row r="80" spans="2:29" ht="15" customHeight="1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</row>
    <row r="81" spans="2:29" ht="15" customHeight="1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</row>
    <row r="82" spans="2:29" ht="15" customHeight="1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2:29" ht="15" customHeight="1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2:29" ht="15" customHeight="1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2:29" ht="15" customHeight="1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2:29" ht="15" customHeight="1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</row>
    <row r="87" spans="2:29" ht="15" customHeight="1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2:29" ht="15" customHeight="1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2:29" ht="15" customHeight="1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2:29" ht="15" customHeight="1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</row>
    <row r="91" spans="2:29" ht="15" customHeight="1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2:29" ht="15" customHeight="1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2:29" ht="15" customHeight="1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</row>
    <row r="94" spans="2:29" ht="15" customHeight="1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</row>
    <row r="95" spans="2:29" ht="15" customHeight="1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</row>
    <row r="96" spans="2:29" ht="15" customHeight="1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</row>
    <row r="97" spans="2:29" ht="15" customHeight="1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</row>
    <row r="98" spans="2:29" ht="15" customHeight="1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</row>
    <row r="99" spans="2:29" ht="15" customHeight="1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</row>
    <row r="100" spans="2:29" ht="15" customHeight="1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</row>
    <row r="101" spans="2:29" ht="15" customHeight="1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</row>
    <row r="102" spans="2:29" ht="15" customHeight="1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</row>
    <row r="103" spans="2:29" ht="15" customHeight="1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</row>
    <row r="104" spans="2:29" ht="15" customHeight="1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</row>
    <row r="105" spans="2:29" ht="15" customHeight="1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</row>
    <row r="106" spans="2:29" ht="15" customHeight="1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</row>
    <row r="107" spans="2:29" ht="15" customHeight="1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</row>
    <row r="108" spans="2:29" ht="15" customHeight="1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</row>
    <row r="109" spans="2:29" ht="15" customHeight="1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</row>
    <row r="110" spans="2:29" ht="15" customHeight="1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</row>
    <row r="111" spans="2:29" ht="15" customHeight="1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</row>
    <row r="112" spans="2:29" ht="15" customHeight="1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</row>
    <row r="113" spans="2:29" ht="15" customHeight="1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</row>
    <row r="114" spans="2:29" ht="15" customHeight="1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</row>
    <row r="115" spans="2:29" ht="15" customHeight="1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</row>
    <row r="116" spans="2:29" ht="15" customHeight="1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</row>
    <row r="117" spans="2:29" ht="15" customHeight="1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</row>
    <row r="118" spans="2:29" ht="15" customHeight="1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</row>
    <row r="119" spans="2:29" ht="15" customHeight="1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</row>
    <row r="120" spans="2:29" ht="15" customHeight="1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</row>
    <row r="121" spans="2:29" ht="15" customHeight="1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</row>
    <row r="122" spans="2:29" ht="15" customHeight="1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2:29" ht="15" customHeight="1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2:29" ht="15" customHeight="1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2:29" ht="15" customHeight="1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  <row r="126" spans="2:29" ht="15" customHeight="1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</row>
    <row r="127" spans="2:29" ht="15" customHeight="1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2:29" ht="15" customHeight="1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</row>
    <row r="129" spans="2:29" ht="15" customHeight="1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  <row r="130" spans="2:29" ht="15" customHeight="1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</row>
    <row r="131" spans="2:29" ht="15" customHeight="1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2:29" ht="15" customHeight="1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</row>
    <row r="133" spans="2:29" ht="15" customHeight="1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  <row r="134" spans="2:29" ht="15" customHeight="1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</row>
    <row r="135" spans="2:29" ht="15" customHeight="1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</row>
    <row r="136" spans="2:29" ht="15" customHeight="1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</row>
    <row r="137" spans="2:29" ht="15" customHeight="1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</row>
    <row r="138" spans="2:29" ht="15" customHeight="1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</row>
    <row r="139" spans="2:29" ht="15" customHeight="1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</row>
    <row r="140" spans="2:29" ht="15" customHeight="1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</row>
    <row r="141" spans="2:29" ht="15" customHeight="1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</row>
    <row r="142" spans="2:29" ht="15" customHeight="1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</row>
    <row r="143" spans="2:29" ht="15" customHeight="1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</row>
    <row r="144" spans="2:29" ht="15" customHeight="1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</row>
    <row r="145" spans="2:29" ht="15" customHeight="1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</row>
    <row r="146" spans="2:29" ht="15" customHeight="1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</row>
    <row r="147" spans="2:29" ht="15" customHeight="1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</row>
    <row r="148" spans="2:29" ht="15" customHeight="1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</row>
    <row r="149" spans="2:29" ht="15" customHeight="1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</row>
    <row r="150" spans="2:29" ht="15" customHeight="1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</row>
    <row r="151" spans="2:29" ht="15" customHeight="1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</row>
    <row r="152" spans="2:29" ht="15" customHeight="1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</row>
    <row r="153" spans="2:29" ht="15" customHeight="1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</row>
    <row r="154" spans="2:29" ht="15" customHeight="1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</row>
    <row r="155" spans="2:29" ht="15" customHeight="1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</row>
    <row r="156" spans="2:29" ht="15" customHeight="1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</row>
    <row r="157" spans="2:29" ht="15" customHeight="1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</row>
    <row r="158" spans="2:29" ht="15" customHeight="1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</row>
    <row r="159" spans="2:29" ht="15" customHeight="1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</row>
    <row r="160" spans="2:29" ht="15" customHeight="1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</row>
    <row r="161" spans="2:29" ht="15" customHeight="1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</row>
    <row r="162" spans="2:29" ht="15" customHeight="1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</row>
    <row r="163" spans="2:29" ht="15" customHeight="1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</row>
    <row r="164" spans="2:29" ht="15" customHeight="1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</row>
    <row r="165" spans="2:29" ht="15" customHeight="1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</row>
    <row r="166" spans="2:29" ht="15" customHeight="1"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</row>
    <row r="167" spans="2:29" ht="15" customHeight="1"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</row>
    <row r="168" spans="2:29" ht="15" customHeight="1"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</row>
    <row r="169" spans="2:29" ht="15" customHeight="1"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</row>
    <row r="170" spans="2:29" ht="15" customHeight="1"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</row>
    <row r="171" spans="2:29" ht="15" customHeight="1"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</row>
    <row r="172" spans="2:29" ht="15" customHeight="1"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</row>
    <row r="173" spans="2:29" ht="15" customHeight="1"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</row>
    <row r="174" spans="2:29" ht="15" customHeight="1"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</row>
    <row r="175" spans="2:29" ht="15" customHeight="1"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</row>
    <row r="176" spans="2:29" ht="15" customHeight="1"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</row>
    <row r="177" spans="9:29" ht="15" customHeight="1"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</row>
    <row r="178" spans="9:29" ht="15" customHeight="1"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</row>
    <row r="179" spans="9:29" ht="15" customHeight="1"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</row>
    <row r="180" spans="9:29" ht="15" customHeight="1"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</row>
    <row r="181" spans="9:29" ht="15" customHeight="1"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</row>
    <row r="182" spans="9:29" ht="15" customHeight="1"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</row>
    <row r="183" spans="9:29" ht="15" customHeight="1"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</row>
    <row r="184" spans="9:29" ht="15" customHeight="1"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9:29" ht="15" customHeight="1"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</row>
    <row r="186" spans="9:29" ht="15" customHeight="1"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</row>
    <row r="187" spans="9:29" ht="15" customHeight="1"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</row>
    <row r="188" spans="9:29" ht="15" customHeight="1"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</row>
    <row r="189" spans="9:29" ht="15" customHeight="1"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</row>
    <row r="190" spans="9:29" ht="15" customHeight="1"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</row>
    <row r="191" spans="9:29" ht="15" customHeight="1"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</row>
    <row r="192" spans="9:29" ht="15" customHeight="1"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</row>
    <row r="193" spans="9:29" ht="15" customHeight="1"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</row>
    <row r="194" spans="9:29" ht="15" customHeight="1"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</row>
    <row r="195" spans="9:29" ht="15" customHeight="1"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</row>
    <row r="196" spans="9:29" ht="15" customHeight="1"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</row>
    <row r="197" spans="9:29" ht="15" customHeight="1"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</row>
    <row r="198" spans="9:29" ht="15" customHeight="1"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</row>
    <row r="199" spans="9:29" ht="15" customHeight="1"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</row>
    <row r="200" spans="9:29" ht="15" customHeight="1"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</row>
    <row r="201" spans="9:29" ht="15" customHeight="1"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</row>
    <row r="202" spans="9:29" ht="15" customHeight="1"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</row>
    <row r="203" spans="9:29" ht="15" customHeight="1"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</row>
    <row r="204" spans="9:29" ht="15" customHeight="1"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</row>
    <row r="205" spans="9:29" ht="15" customHeight="1"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</row>
    <row r="206" spans="9:29" ht="15" customHeight="1"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</row>
    <row r="207" spans="9:29" ht="15" customHeight="1"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</row>
    <row r="208" spans="9:29" ht="15" customHeight="1"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</row>
    <row r="209" spans="9:29" ht="15" customHeight="1"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</row>
    <row r="210" spans="9:29" ht="15" customHeight="1"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</row>
    <row r="211" spans="9:29" ht="15" customHeight="1"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</row>
    <row r="212" spans="9:29" ht="15" customHeight="1"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</row>
    <row r="213" spans="9:29" ht="15" customHeight="1"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</row>
    <row r="214" spans="9:29" ht="15" customHeight="1"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</row>
    <row r="215" spans="9:29" ht="15" customHeight="1"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</row>
    <row r="216" spans="9:29" ht="15" customHeight="1"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</row>
    <row r="217" spans="9:29" ht="15" customHeight="1"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</row>
    <row r="218" spans="9:29" ht="15" customHeight="1"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</row>
    <row r="219" spans="9:29" ht="15" customHeight="1"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</row>
    <row r="220" spans="9:29" ht="15" customHeight="1"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</row>
    <row r="221" spans="9:29" ht="15" customHeight="1"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</row>
    <row r="222" spans="9:29" ht="15" customHeight="1"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</row>
    <row r="223" spans="9:29" ht="15" customHeight="1"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</row>
    <row r="224" spans="9:29" ht="15" customHeight="1"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</row>
    <row r="225" spans="9:29" ht="15" customHeight="1"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</row>
    <row r="226" spans="9:29" ht="15" customHeight="1"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</row>
    <row r="227" spans="9:29" ht="15" customHeight="1"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</row>
    <row r="228" spans="9:29" ht="15" customHeight="1"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</row>
    <row r="229" spans="9:29" ht="15" customHeight="1"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</row>
    <row r="230" spans="9:29" ht="15" customHeight="1"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</row>
    <row r="231" spans="9:29" ht="15" customHeight="1"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</row>
    <row r="232" spans="9:29" ht="15" customHeight="1"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</row>
    <row r="233" spans="9:29" ht="15" customHeight="1"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</row>
    <row r="234" spans="9:29" ht="15" customHeight="1"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</row>
    <row r="235" spans="9:29" ht="15" customHeight="1"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</row>
    <row r="236" spans="9:29" ht="15" customHeight="1"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</row>
    <row r="237" spans="9:29" ht="15" customHeight="1"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</row>
    <row r="238" spans="9:29" ht="15" customHeight="1"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</row>
    <row r="239" spans="9:29" ht="15" customHeight="1"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</row>
    <row r="240" spans="9:29" ht="15" customHeight="1"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</row>
    <row r="241" spans="9:29" ht="15" customHeight="1"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</row>
    <row r="242" spans="9:29" ht="15" customHeight="1"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</row>
    <row r="243" spans="9:29" ht="15" customHeight="1"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</row>
    <row r="244" spans="9:29" ht="15" customHeight="1"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</row>
    <row r="245" spans="9:29" ht="15" customHeight="1"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</row>
    <row r="246" spans="9:29" ht="15" customHeight="1"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</row>
    <row r="247" spans="9:29" ht="15" customHeight="1"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</row>
    <row r="248" spans="9:29" ht="15" customHeight="1"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</row>
    <row r="249" spans="9:29" ht="15" customHeight="1"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</row>
    <row r="250" spans="9:29" ht="15" customHeight="1"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</row>
    <row r="251" spans="9:29" ht="15" customHeight="1"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</row>
    <row r="252" spans="9:29" ht="15" customHeight="1"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</row>
    <row r="253" spans="9:29" ht="15" customHeight="1"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</row>
    <row r="254" spans="9:29" ht="15" customHeight="1"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</row>
    <row r="255" spans="9:29" ht="15" customHeight="1"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</row>
    <row r="256" spans="9:29" ht="15" customHeight="1"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</row>
    <row r="257" spans="9:29" ht="15" customHeight="1"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</row>
    <row r="258" spans="9:29" ht="15" customHeight="1"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</row>
    <row r="259" spans="9:29" ht="15" customHeight="1"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</row>
    <row r="260" spans="9:29" ht="15" customHeight="1"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</row>
    <row r="261" spans="9:29" ht="15" customHeight="1"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</row>
    <row r="262" spans="9:29" ht="15" customHeight="1"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</row>
    <row r="263" spans="9:29" ht="15" customHeight="1"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</row>
    <row r="264" spans="9:29" ht="15" customHeight="1"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</row>
    <row r="265" spans="9:29" ht="15" customHeight="1"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</row>
    <row r="266" spans="9:29" ht="15" customHeight="1"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</row>
    <row r="267" spans="9:29" ht="15" customHeight="1"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</row>
    <row r="268" spans="9:29" ht="15" customHeight="1"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</row>
    <row r="269" spans="9:29" ht="15" customHeight="1"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</row>
    <row r="270" spans="9:29" ht="15" customHeight="1"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</row>
    <row r="271" spans="9:29" ht="15" customHeight="1"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</row>
    <row r="272" spans="9:29" ht="15" customHeight="1"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</row>
    <row r="273" spans="9:29" ht="15" customHeight="1"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</row>
    <row r="274" spans="9:29" ht="15" customHeight="1"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</row>
    <row r="275" spans="9:29" ht="15" customHeight="1"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</row>
    <row r="276" spans="9:29" ht="15" customHeight="1"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</row>
    <row r="277" spans="9:29" ht="15" customHeight="1"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</row>
    <row r="278" spans="9:29" ht="15" customHeight="1"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spans="9:29" ht="15" customHeight="1"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spans="9:29" ht="15" customHeight="1"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</row>
    <row r="281" spans="9:29" ht="15" customHeight="1"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</row>
    <row r="282" spans="9:29" ht="15" customHeight="1"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spans="9:29" ht="15" customHeight="1"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</row>
    <row r="284" spans="9:29" ht="15" customHeight="1"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</row>
    <row r="285" spans="9:29" ht="15" customHeight="1"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</row>
    <row r="286" spans="9:29" ht="15" customHeight="1"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</row>
    <row r="287" spans="9:29" ht="15" customHeight="1"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</row>
    <row r="288" spans="9:29" ht="15" customHeight="1"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</row>
    <row r="289" spans="9:29" ht="15" customHeight="1"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</row>
    <row r="290" spans="9:29" ht="15" customHeight="1"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</row>
    <row r="291" spans="9:29" ht="15" customHeight="1"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</row>
    <row r="292" spans="9:29" ht="15" customHeight="1"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</row>
    <row r="293" spans="9:29" ht="15" customHeight="1"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</row>
    <row r="294" spans="9:29" ht="15" customHeight="1"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</row>
    <row r="295" spans="9:29" ht="15" customHeight="1"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</row>
    <row r="296" spans="9:29" ht="15" customHeight="1"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</row>
    <row r="297" spans="9:29" ht="15" customHeight="1"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</row>
    <row r="298" spans="9:29" ht="15" customHeight="1"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</row>
    <row r="299" spans="9:29" ht="15" customHeight="1"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</row>
    <row r="300" spans="9:29" ht="15" customHeight="1"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</row>
    <row r="301" spans="9:29" ht="15" customHeight="1"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</row>
    <row r="302" spans="9:29" ht="15" customHeight="1"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</row>
  </sheetData>
  <mergeCells count="5">
    <mergeCell ref="B46:H46"/>
    <mergeCell ref="B1:G4"/>
    <mergeCell ref="B5:G5"/>
    <mergeCell ref="B6:G6"/>
    <mergeCell ref="B10:H10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6" orientation="landscape" r:id="rId1"/>
  <headerFooter alignWithMargins="0"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3"/>
  <dimension ref="A1:P95"/>
  <sheetViews>
    <sheetView topLeftCell="A4" zoomScaleSheetLayoutView="10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5" width="9.140625" style="9"/>
    <col min="16" max="16" width="9.5703125" style="9" bestFit="1" customWidth="1"/>
    <col min="17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694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5" t="s">
        <v>127</v>
      </c>
      <c r="C7" s="66" t="s">
        <v>120</v>
      </c>
      <c r="D7" s="66" t="s">
        <v>115</v>
      </c>
      <c r="E7" s="460" t="s">
        <v>740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915650</v>
      </c>
      <c r="J8" s="244">
        <f t="shared" ref="J8" si="1">SUM(J9:J12)</f>
        <v>915650</v>
      </c>
      <c r="K8" s="532">
        <f>SUM(K9:K12)</f>
        <v>957580</v>
      </c>
      <c r="L8" s="244">
        <f>SUM(L9:L12)</f>
        <v>0</v>
      </c>
      <c r="M8" s="261">
        <f>SUM(M9:M12)</f>
        <v>957580</v>
      </c>
      <c r="N8" s="217">
        <f t="shared" ref="N8:N31" si="2">IF(J8=0,"",M8/J8*100)</f>
        <v>104.57926063452192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762820</v>
      </c>
      <c r="J9" s="245">
        <v>762820</v>
      </c>
      <c r="K9" s="391">
        <f>793910+790+3*450</f>
        <v>796050</v>
      </c>
      <c r="L9" s="245">
        <v>0</v>
      </c>
      <c r="M9" s="262">
        <f>SUM(K9:L9)</f>
        <v>796050</v>
      </c>
      <c r="N9" s="218">
        <f t="shared" si="2"/>
        <v>104.35620460921318</v>
      </c>
      <c r="O9" s="45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152830</v>
      </c>
      <c r="J10" s="245">
        <v>152830</v>
      </c>
      <c r="K10" s="391">
        <f>154780+2000+1750+3*1000</f>
        <v>161530</v>
      </c>
      <c r="L10" s="245">
        <v>0</v>
      </c>
      <c r="M10" s="262">
        <f t="shared" ref="M10:M11" si="3">SUM(K10:L10)</f>
        <v>161530</v>
      </c>
      <c r="N10" s="218">
        <f t="shared" si="2"/>
        <v>105.69259962049335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80690</v>
      </c>
      <c r="J13" s="244">
        <f t="shared" si="4"/>
        <v>80690</v>
      </c>
      <c r="K13" s="532">
        <f>K14</f>
        <v>83610</v>
      </c>
      <c r="L13" s="244">
        <f>L14</f>
        <v>0</v>
      </c>
      <c r="M13" s="261">
        <f>M14</f>
        <v>83610</v>
      </c>
      <c r="N13" s="217">
        <f t="shared" si="2"/>
        <v>103.61878795389762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80690</v>
      </c>
      <c r="J14" s="245">
        <v>80690</v>
      </c>
      <c r="K14" s="391">
        <f>83370+90+3*50</f>
        <v>83610</v>
      </c>
      <c r="L14" s="245">
        <v>0</v>
      </c>
      <c r="M14" s="262">
        <f>SUM(K14:L14)</f>
        <v>83610</v>
      </c>
      <c r="N14" s="218">
        <f t="shared" si="2"/>
        <v>103.61878795389762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>SUM(I17:I26)</f>
        <v>126250</v>
      </c>
      <c r="J16" s="242">
        <f>SUM(J17:J26)</f>
        <v>126250</v>
      </c>
      <c r="K16" s="533">
        <f>SUM(K17:K26)</f>
        <v>148190</v>
      </c>
      <c r="L16" s="242">
        <f>SUM(L17:L26)</f>
        <v>0</v>
      </c>
      <c r="M16" s="264">
        <f>SUM(M17:M26)</f>
        <v>148190</v>
      </c>
      <c r="N16" s="217">
        <f t="shared" si="2"/>
        <v>117.37821782178217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2000</v>
      </c>
      <c r="J17" s="245">
        <v>2000</v>
      </c>
      <c r="K17" s="391">
        <v>2800</v>
      </c>
      <c r="L17" s="245">
        <v>0</v>
      </c>
      <c r="M17" s="262">
        <f t="shared" ref="M17:M26" si="5">SUM(K17:L17)</f>
        <v>2800</v>
      </c>
      <c r="N17" s="218">
        <f t="shared" si="2"/>
        <v>140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55000</v>
      </c>
      <c r="J18" s="245">
        <v>55000</v>
      </c>
      <c r="K18" s="390">
        <v>60000</v>
      </c>
      <c r="L18" s="241">
        <v>0</v>
      </c>
      <c r="M18" s="262">
        <f t="shared" si="5"/>
        <v>60000</v>
      </c>
      <c r="N18" s="218">
        <f t="shared" si="2"/>
        <v>109.09090909090908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6300</v>
      </c>
      <c r="J19" s="245">
        <v>6300</v>
      </c>
      <c r="K19" s="390">
        <v>7500</v>
      </c>
      <c r="L19" s="241">
        <v>0</v>
      </c>
      <c r="M19" s="262">
        <f t="shared" si="5"/>
        <v>7500</v>
      </c>
      <c r="N19" s="218">
        <f t="shared" si="2"/>
        <v>119.04761904761905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15000</v>
      </c>
      <c r="J20" s="245">
        <v>15000</v>
      </c>
      <c r="K20" s="390">
        <v>18000</v>
      </c>
      <c r="L20" s="241">
        <v>0</v>
      </c>
      <c r="M20" s="262">
        <f t="shared" si="5"/>
        <v>18000</v>
      </c>
      <c r="N20" s="218">
        <f t="shared" si="2"/>
        <v>120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2000</v>
      </c>
      <c r="J21" s="245">
        <v>2000</v>
      </c>
      <c r="K21" s="391">
        <v>3500</v>
      </c>
      <c r="L21" s="245">
        <v>0</v>
      </c>
      <c r="M21" s="262">
        <f t="shared" si="5"/>
        <v>3500</v>
      </c>
      <c r="N21" s="218">
        <f t="shared" si="2"/>
        <v>175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5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12000</v>
      </c>
      <c r="J23" s="245">
        <v>12000</v>
      </c>
      <c r="K23" s="391">
        <v>18000</v>
      </c>
      <c r="L23" s="245">
        <v>0</v>
      </c>
      <c r="M23" s="262">
        <f t="shared" si="5"/>
        <v>18000</v>
      </c>
      <c r="N23" s="218">
        <f t="shared" si="2"/>
        <v>150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450</v>
      </c>
      <c r="J24" s="245">
        <v>450</v>
      </c>
      <c r="K24" s="391">
        <f>450+940</f>
        <v>1390</v>
      </c>
      <c r="L24" s="245">
        <v>0</v>
      </c>
      <c r="M24" s="262">
        <f t="shared" si="5"/>
        <v>1390</v>
      </c>
      <c r="N24" s="218">
        <f t="shared" si="2"/>
        <v>308.88888888888891</v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33500</v>
      </c>
      <c r="J25" s="245">
        <v>33500</v>
      </c>
      <c r="K25" s="393">
        <v>37000</v>
      </c>
      <c r="L25" s="237">
        <v>0</v>
      </c>
      <c r="M25" s="262">
        <f t="shared" si="5"/>
        <v>37000</v>
      </c>
      <c r="N25" s="218">
        <f t="shared" si="2"/>
        <v>110.44776119402985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2">
        <v>0</v>
      </c>
      <c r="L26" s="238">
        <v>0</v>
      </c>
      <c r="M26" s="262">
        <f t="shared" si="5"/>
        <v>0</v>
      </c>
      <c r="N26" s="218" t="str">
        <f t="shared" si="2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6">SUM(I29:I30)</f>
        <v>4930</v>
      </c>
      <c r="J28" s="244">
        <f t="shared" ref="J28" si="7">SUM(J29:J30)</f>
        <v>4930</v>
      </c>
      <c r="K28" s="532">
        <f>SUM(K29:K30)</f>
        <v>28000</v>
      </c>
      <c r="L28" s="244">
        <f>SUM(L29:L30)</f>
        <v>0</v>
      </c>
      <c r="M28" s="264">
        <f>SUM(M29:M30)</f>
        <v>28000</v>
      </c>
      <c r="N28" s="217">
        <f t="shared" si="2"/>
        <v>567.95131845841786</v>
      </c>
    </row>
    <row r="29" spans="1:15" ht="12.95" customHeight="1">
      <c r="B29" s="10"/>
      <c r="C29" s="11"/>
      <c r="D29" s="11"/>
      <c r="E29" s="170"/>
      <c r="F29" s="187">
        <v>821200</v>
      </c>
      <c r="G29" s="206"/>
      <c r="H29" s="475" t="s">
        <v>90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ref="M29:M30" si="8">SUM(K29:L29)</f>
        <v>0</v>
      </c>
      <c r="N29" s="218" t="str">
        <f t="shared" si="2"/>
        <v/>
      </c>
      <c r="O29" s="45"/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4930</v>
      </c>
      <c r="J30" s="245">
        <v>4930</v>
      </c>
      <c r="K30" s="391">
        <f>8000+20000</f>
        <v>28000</v>
      </c>
      <c r="L30" s="245">
        <v>0</v>
      </c>
      <c r="M30" s="262">
        <f t="shared" si="8"/>
        <v>28000</v>
      </c>
      <c r="N30" s="218">
        <f t="shared" si="2"/>
        <v>567.95131845841786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08" t="s">
        <v>820</v>
      </c>
      <c r="J32" s="408" t="s">
        <v>820</v>
      </c>
      <c r="K32" s="535" t="s">
        <v>820</v>
      </c>
      <c r="L32" s="434"/>
      <c r="M32" s="266" t="s">
        <v>820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 t="shared" ref="I33:M33" si="9">I8+I13+I16+I28</f>
        <v>1127520</v>
      </c>
      <c r="J33" s="172">
        <f t="shared" si="9"/>
        <v>1127520</v>
      </c>
      <c r="K33" s="401">
        <f t="shared" si="9"/>
        <v>1217380</v>
      </c>
      <c r="L33" s="172">
        <f t="shared" si="9"/>
        <v>0</v>
      </c>
      <c r="M33" s="264">
        <f t="shared" si="9"/>
        <v>1217380</v>
      </c>
      <c r="N33" s="217">
        <f>IF(J33=0,"",M33/J33*100)</f>
        <v>107.96970341989498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>
        <f>I33+'22'!I33+'21'!I33</f>
        <v>3883590</v>
      </c>
      <c r="J34" s="172">
        <f>J33+'22'!J33+'21'!J33</f>
        <v>3883590</v>
      </c>
      <c r="K34" s="401">
        <f>K33+'22'!K33+'21'!K33</f>
        <v>4099450</v>
      </c>
      <c r="L34" s="172">
        <f>L33+'22'!L33+'21'!L33</f>
        <v>0</v>
      </c>
      <c r="M34" s="264">
        <f>M33+'22'!M33+'21'!M33</f>
        <v>4099450</v>
      </c>
      <c r="N34" s="217">
        <f>IF(J34=0,"",M34/J34*100)</f>
        <v>105.55825923951807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9"/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B42" s="45"/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7.100000000000001" customHeight="1">
      <c r="F59" s="186"/>
      <c r="G59" s="205"/>
      <c r="M59" s="268"/>
    </row>
    <row r="60" spans="6:13" ht="14.25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186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>
      <c r="G90" s="186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6"/>
  <dimension ref="A1:P96"/>
  <sheetViews>
    <sheetView zoomScaleSheetLayoutView="10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679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358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81</v>
      </c>
      <c r="E7" s="459" t="s">
        <v>741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SUM(I9:I12)</f>
        <v>1155750</v>
      </c>
      <c r="J8" s="244">
        <f t="shared" si="0"/>
        <v>1155750</v>
      </c>
      <c r="K8" s="532">
        <f>SUM(K9:K12)</f>
        <v>1229980</v>
      </c>
      <c r="L8" s="244">
        <f>SUM(L9:L12)</f>
        <v>0</v>
      </c>
      <c r="M8" s="261">
        <f>SUM(M9:M12)</f>
        <v>1229980</v>
      </c>
      <c r="N8" s="217">
        <f t="shared" ref="N8:N31" si="1">IF(J8=0,"",M8/J8*100)</f>
        <v>106.42266926238374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967810</v>
      </c>
      <c r="J9" s="245">
        <v>967810</v>
      </c>
      <c r="K9" s="391">
        <f>1056950+2000+2500+3*450-23000</f>
        <v>1039800</v>
      </c>
      <c r="L9" s="245">
        <v>0</v>
      </c>
      <c r="M9" s="262">
        <f>SUM(K9:L9)</f>
        <v>1039800</v>
      </c>
      <c r="N9" s="218">
        <f t="shared" si="1"/>
        <v>107.43844349614078</v>
      </c>
      <c r="O9" s="58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187940</v>
      </c>
      <c r="J10" s="245">
        <v>187940</v>
      </c>
      <c r="K10" s="391">
        <f>179220+4000+3960+3*1000</f>
        <v>190180</v>
      </c>
      <c r="L10" s="245">
        <v>0</v>
      </c>
      <c r="M10" s="262">
        <f t="shared" ref="M10:M11" si="2">SUM(K10:L10)</f>
        <v>190180</v>
      </c>
      <c r="N10" s="218">
        <f t="shared" si="1"/>
        <v>101.1918697456635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102210</v>
      </c>
      <c r="J13" s="244">
        <f t="shared" si="3"/>
        <v>102210</v>
      </c>
      <c r="K13" s="532">
        <f>K14</f>
        <v>109500</v>
      </c>
      <c r="L13" s="244">
        <f>L14</f>
        <v>0</v>
      </c>
      <c r="M13" s="261">
        <f>M14</f>
        <v>109500</v>
      </c>
      <c r="N13" s="217">
        <f t="shared" si="1"/>
        <v>107.13237452304081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102210</v>
      </c>
      <c r="J14" s="245">
        <v>102210</v>
      </c>
      <c r="K14" s="391">
        <f>110850+500+3*50-2000</f>
        <v>109500</v>
      </c>
      <c r="L14" s="245">
        <v>0</v>
      </c>
      <c r="M14" s="262">
        <f>SUM(K14:L14)</f>
        <v>109500</v>
      </c>
      <c r="N14" s="218">
        <f t="shared" si="1"/>
        <v>107.13237452304081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4">SUM(I17:I26)</f>
        <v>88700</v>
      </c>
      <c r="J16" s="242">
        <f t="shared" ref="J16" si="5">SUM(J17:J26)</f>
        <v>88700</v>
      </c>
      <c r="K16" s="533">
        <f>SUM(K17:K26)</f>
        <v>97900</v>
      </c>
      <c r="L16" s="242">
        <f>SUM(L17:L26)</f>
        <v>0</v>
      </c>
      <c r="M16" s="264">
        <f>SUM(M17:M26)</f>
        <v>97900</v>
      </c>
      <c r="N16" s="217">
        <f t="shared" si="1"/>
        <v>110.37204058624577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1500</v>
      </c>
      <c r="J17" s="245">
        <v>1500</v>
      </c>
      <c r="K17" s="391">
        <v>2100</v>
      </c>
      <c r="L17" s="245">
        <v>0</v>
      </c>
      <c r="M17" s="262">
        <f t="shared" ref="M17:M26" si="6">SUM(K17:L17)</f>
        <v>2100</v>
      </c>
      <c r="N17" s="218">
        <f t="shared" si="1"/>
        <v>140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35000</v>
      </c>
      <c r="J18" s="245">
        <v>35000</v>
      </c>
      <c r="K18" s="391">
        <v>35000</v>
      </c>
      <c r="L18" s="245">
        <v>0</v>
      </c>
      <c r="M18" s="262">
        <f t="shared" si="6"/>
        <v>35000</v>
      </c>
      <c r="N18" s="218">
        <f t="shared" si="1"/>
        <v>100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6000</v>
      </c>
      <c r="J19" s="245">
        <v>6000</v>
      </c>
      <c r="K19" s="391">
        <v>6000</v>
      </c>
      <c r="L19" s="245">
        <v>0</v>
      </c>
      <c r="M19" s="262">
        <f t="shared" si="6"/>
        <v>6000</v>
      </c>
      <c r="N19" s="218">
        <f t="shared" si="1"/>
        <v>100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12000</v>
      </c>
      <c r="J20" s="245">
        <v>12000</v>
      </c>
      <c r="K20" s="391">
        <v>13000</v>
      </c>
      <c r="L20" s="245">
        <v>0</v>
      </c>
      <c r="M20" s="262">
        <f t="shared" si="6"/>
        <v>13000</v>
      </c>
      <c r="N20" s="218">
        <f t="shared" si="1"/>
        <v>108.33333333333333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200</v>
      </c>
      <c r="J21" s="245">
        <v>200</v>
      </c>
      <c r="K21" s="391">
        <v>500</v>
      </c>
      <c r="L21" s="245">
        <v>0</v>
      </c>
      <c r="M21" s="262">
        <f t="shared" si="6"/>
        <v>500</v>
      </c>
      <c r="N21" s="218">
        <f t="shared" si="1"/>
        <v>250</v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6"/>
        <v>0</v>
      </c>
      <c r="N22" s="218" t="str">
        <f t="shared" si="1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6000</v>
      </c>
      <c r="J23" s="245">
        <v>6000</v>
      </c>
      <c r="K23" s="391">
        <v>10000</v>
      </c>
      <c r="L23" s="245">
        <v>0</v>
      </c>
      <c r="M23" s="262">
        <f t="shared" si="6"/>
        <v>10000</v>
      </c>
      <c r="N23" s="218">
        <f t="shared" si="1"/>
        <v>166.66666666666669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1300</v>
      </c>
      <c r="L24" s="245">
        <v>0</v>
      </c>
      <c r="M24" s="262">
        <f t="shared" si="6"/>
        <v>1300</v>
      </c>
      <c r="N24" s="218" t="str">
        <f t="shared" si="1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28000</v>
      </c>
      <c r="J25" s="245">
        <v>28000</v>
      </c>
      <c r="K25" s="391">
        <v>30000</v>
      </c>
      <c r="L25" s="245">
        <v>0</v>
      </c>
      <c r="M25" s="262">
        <f t="shared" si="6"/>
        <v>30000</v>
      </c>
      <c r="N25" s="218">
        <f t="shared" si="1"/>
        <v>107.14285714285714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6"/>
        <v>0</v>
      </c>
      <c r="N26" s="218" t="str">
        <f t="shared" si="1"/>
        <v/>
      </c>
    </row>
    <row r="27" spans="1:14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5"/>
      <c r="N27" s="218" t="str">
        <f t="shared" si="1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7">SUM(I29:I30)</f>
        <v>23600</v>
      </c>
      <c r="J28" s="244">
        <f t="shared" ref="J28" si="8">SUM(J29:J30)</f>
        <v>23600</v>
      </c>
      <c r="K28" s="532">
        <f>SUM(K29:K30)</f>
        <v>25000</v>
      </c>
      <c r="L28" s="244">
        <f>SUM(L29:L30)</f>
        <v>15000</v>
      </c>
      <c r="M28" s="264">
        <f>SUM(M29:M30)</f>
        <v>40000</v>
      </c>
      <c r="N28" s="217">
        <f t="shared" si="1"/>
        <v>169.4915254237288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10000</v>
      </c>
      <c r="J29" s="245">
        <v>10000</v>
      </c>
      <c r="K29" s="391">
        <v>15000</v>
      </c>
      <c r="L29" s="245">
        <v>0</v>
      </c>
      <c r="M29" s="262">
        <f t="shared" ref="M29:M30" si="9">SUM(K29:L29)</f>
        <v>15000</v>
      </c>
      <c r="N29" s="218">
        <f t="shared" si="1"/>
        <v>150</v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13600</v>
      </c>
      <c r="J30" s="245">
        <v>13600</v>
      </c>
      <c r="K30" s="391">
        <f>5000+5000</f>
        <v>10000</v>
      </c>
      <c r="L30" s="245">
        <v>15000</v>
      </c>
      <c r="M30" s="262">
        <f t="shared" si="9"/>
        <v>25000</v>
      </c>
      <c r="N30" s="218">
        <f t="shared" si="1"/>
        <v>183.8235294117647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5"/>
      <c r="J31" s="245"/>
      <c r="K31" s="391"/>
      <c r="L31" s="245"/>
      <c r="M31" s="263"/>
      <c r="N31" s="218" t="str">
        <f t="shared" si="1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08" t="s">
        <v>792</v>
      </c>
      <c r="J32" s="408" t="s">
        <v>792</v>
      </c>
      <c r="K32" s="535" t="s">
        <v>906</v>
      </c>
      <c r="L32" s="434"/>
      <c r="M32" s="266" t="s">
        <v>906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1370260</v>
      </c>
      <c r="J33" s="172">
        <f>J8+J13+J16+J28</f>
        <v>1370260</v>
      </c>
      <c r="K33" s="401">
        <f>K8+K13+K16+K28</f>
        <v>1462380</v>
      </c>
      <c r="L33" s="172">
        <f>L8+L13+L16+L28</f>
        <v>15000</v>
      </c>
      <c r="M33" s="264">
        <f>M8+M13+M16+M28</f>
        <v>1477380</v>
      </c>
      <c r="N33" s="217">
        <f>IF(J33=0,"",M33/J33*100)</f>
        <v>107.81749449009676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B44" s="45"/>
      <c r="F44" s="186"/>
      <c r="G44" s="205"/>
      <c r="M44" s="270"/>
    </row>
    <row r="45" spans="1:14" ht="12.95" customHeight="1">
      <c r="B45" s="45"/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7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697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109</v>
      </c>
      <c r="E7" s="459" t="s">
        <v>741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2534020</v>
      </c>
      <c r="J8" s="244">
        <f t="shared" ref="J8" si="1">SUM(J9:J12)</f>
        <v>2534020</v>
      </c>
      <c r="K8" s="532">
        <f>SUM(K9:K12)</f>
        <v>2676880</v>
      </c>
      <c r="L8" s="244">
        <f>SUM(L9:L12)</f>
        <v>0</v>
      </c>
      <c r="M8" s="261">
        <f>SUM(M9:M12)</f>
        <v>2676880</v>
      </c>
      <c r="N8" s="217">
        <f t="shared" ref="N8:N31" si="2">IF(J8=0,"",M8/J8*100)</f>
        <v>105.63768241766047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2096730</v>
      </c>
      <c r="J9" s="243">
        <v>2096730</v>
      </c>
      <c r="K9" s="388">
        <f>2249950+2*450+3*790</f>
        <v>2253220</v>
      </c>
      <c r="L9" s="243">
        <v>0</v>
      </c>
      <c r="M9" s="262">
        <f>SUM(K9:L9)</f>
        <v>2253220</v>
      </c>
      <c r="N9" s="218">
        <f t="shared" si="2"/>
        <v>107.46352653894398</v>
      </c>
      <c r="P9" s="51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3">
        <v>437290</v>
      </c>
      <c r="J10" s="243">
        <v>437290</v>
      </c>
      <c r="K10" s="388">
        <f>416410+2*1000+3*1750</f>
        <v>423660</v>
      </c>
      <c r="L10" s="243">
        <v>0</v>
      </c>
      <c r="M10" s="262">
        <f t="shared" ref="M10:M11" si="3">SUM(K10:L10)</f>
        <v>423660</v>
      </c>
      <c r="N10" s="218">
        <f t="shared" si="2"/>
        <v>96.883075304717693</v>
      </c>
      <c r="P10" s="51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3"/>
      <c r="J12" s="243"/>
      <c r="K12" s="388"/>
      <c r="L12" s="243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221470</v>
      </c>
      <c r="J13" s="244">
        <f t="shared" si="4"/>
        <v>221470</v>
      </c>
      <c r="K13" s="532">
        <f>K14</f>
        <v>236620</v>
      </c>
      <c r="L13" s="244">
        <f>L14</f>
        <v>0</v>
      </c>
      <c r="M13" s="261">
        <f>M14</f>
        <v>236620</v>
      </c>
      <c r="N13" s="217">
        <f t="shared" si="2"/>
        <v>106.84065561927123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221470</v>
      </c>
      <c r="J14" s="243">
        <v>221470</v>
      </c>
      <c r="K14" s="388">
        <f>236250+2*50+3*90</f>
        <v>236620</v>
      </c>
      <c r="L14" s="243">
        <v>0</v>
      </c>
      <c r="M14" s="262">
        <f>SUM(K14:L14)</f>
        <v>236620</v>
      </c>
      <c r="N14" s="218">
        <f t="shared" si="2"/>
        <v>106.84065561927123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3"/>
      <c r="J15" s="243"/>
      <c r="K15" s="388"/>
      <c r="L15" s="243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195000</v>
      </c>
      <c r="J16" s="242">
        <f t="shared" ref="J16" si="6">SUM(J17:J26)</f>
        <v>195000</v>
      </c>
      <c r="K16" s="533">
        <f>SUM(K17:K26)</f>
        <v>213850</v>
      </c>
      <c r="L16" s="242">
        <f>SUM(L17:L26)</f>
        <v>0</v>
      </c>
      <c r="M16" s="264">
        <f>SUM(M17:M26)</f>
        <v>213850</v>
      </c>
      <c r="N16" s="217">
        <f t="shared" si="2"/>
        <v>109.66666666666667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3">
        <v>2500</v>
      </c>
      <c r="J17" s="243">
        <v>2500</v>
      </c>
      <c r="K17" s="389">
        <v>3800</v>
      </c>
      <c r="L17" s="239">
        <v>0</v>
      </c>
      <c r="M17" s="262">
        <f t="shared" ref="M17:M26" si="7">SUM(K17:L17)</f>
        <v>3800</v>
      </c>
      <c r="N17" s="218">
        <f t="shared" si="2"/>
        <v>152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3">
        <v>84000</v>
      </c>
      <c r="J18" s="243">
        <v>84000</v>
      </c>
      <c r="K18" s="389">
        <v>90000</v>
      </c>
      <c r="L18" s="239">
        <v>0</v>
      </c>
      <c r="M18" s="262">
        <f t="shared" si="7"/>
        <v>90000</v>
      </c>
      <c r="N18" s="218">
        <f t="shared" si="2"/>
        <v>107.14285714285714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3">
        <v>10000</v>
      </c>
      <c r="J19" s="243">
        <v>10000</v>
      </c>
      <c r="K19" s="389">
        <v>10000</v>
      </c>
      <c r="L19" s="239">
        <v>0</v>
      </c>
      <c r="M19" s="262">
        <f t="shared" si="7"/>
        <v>10000</v>
      </c>
      <c r="N19" s="218">
        <f t="shared" si="2"/>
        <v>100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3">
        <v>21000</v>
      </c>
      <c r="J20" s="243">
        <v>21000</v>
      </c>
      <c r="K20" s="388">
        <v>25000</v>
      </c>
      <c r="L20" s="243">
        <v>0</v>
      </c>
      <c r="M20" s="262">
        <f t="shared" si="7"/>
        <v>25000</v>
      </c>
      <c r="N20" s="218">
        <f t="shared" si="2"/>
        <v>119.04761904761905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3">
        <v>1500</v>
      </c>
      <c r="J21" s="243">
        <v>1500</v>
      </c>
      <c r="K21" s="388">
        <v>1500</v>
      </c>
      <c r="L21" s="243">
        <v>0</v>
      </c>
      <c r="M21" s="262">
        <f t="shared" si="7"/>
        <v>1500</v>
      </c>
      <c r="N21" s="218">
        <f t="shared" si="2"/>
        <v>100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3">
        <v>0</v>
      </c>
      <c r="J22" s="243">
        <v>0</v>
      </c>
      <c r="K22" s="388">
        <v>0</v>
      </c>
      <c r="L22" s="243">
        <v>0</v>
      </c>
      <c r="M22" s="262">
        <f t="shared" si="7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3">
        <v>28000</v>
      </c>
      <c r="J23" s="243">
        <v>28000</v>
      </c>
      <c r="K23" s="388">
        <v>33000</v>
      </c>
      <c r="L23" s="243">
        <v>0</v>
      </c>
      <c r="M23" s="262">
        <f t="shared" si="7"/>
        <v>33000</v>
      </c>
      <c r="N23" s="218">
        <f t="shared" si="2"/>
        <v>117.85714285714286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3">
        <v>0</v>
      </c>
      <c r="J24" s="243">
        <v>0</v>
      </c>
      <c r="K24" s="388">
        <v>2550</v>
      </c>
      <c r="L24" s="243">
        <v>0</v>
      </c>
      <c r="M24" s="262">
        <f t="shared" si="7"/>
        <v>2550</v>
      </c>
      <c r="N24" s="218" t="str">
        <f t="shared" si="2"/>
        <v/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3">
        <v>48000</v>
      </c>
      <c r="J25" s="243">
        <v>48000</v>
      </c>
      <c r="K25" s="388">
        <v>48000</v>
      </c>
      <c r="L25" s="243">
        <v>0</v>
      </c>
      <c r="M25" s="262">
        <f t="shared" si="7"/>
        <v>48000</v>
      </c>
      <c r="N25" s="218">
        <f t="shared" si="2"/>
        <v>100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2">
        <v>0</v>
      </c>
      <c r="L26" s="238">
        <v>0</v>
      </c>
      <c r="M26" s="262">
        <f t="shared" si="7"/>
        <v>0</v>
      </c>
      <c r="N26" s="218" t="str">
        <f t="shared" si="2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3"/>
      <c r="J27" s="243"/>
      <c r="K27" s="388"/>
      <c r="L27" s="243"/>
      <c r="M27" s="263"/>
      <c r="N27" s="218" t="str">
        <f t="shared" si="2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SUM(I29:I31)</f>
        <v>110040</v>
      </c>
      <c r="J28" s="244">
        <f t="shared" ref="J28" si="9">SUM(J29:J31)</f>
        <v>110040</v>
      </c>
      <c r="K28" s="532">
        <f>SUM(K29:K31)</f>
        <v>30000</v>
      </c>
      <c r="L28" s="244">
        <f>SUM(L29:L31)</f>
        <v>0</v>
      </c>
      <c r="M28" s="264">
        <f>SUM(M29:M31)</f>
        <v>30000</v>
      </c>
      <c r="N28" s="217">
        <f t="shared" si="2"/>
        <v>27.262813522355504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3">
        <v>82440</v>
      </c>
      <c r="J29" s="243">
        <v>82440</v>
      </c>
      <c r="K29" s="388">
        <f>15000+5000</f>
        <v>20000</v>
      </c>
      <c r="L29" s="243">
        <v>0</v>
      </c>
      <c r="M29" s="262">
        <f t="shared" ref="M29:M30" si="10">SUM(K29:L29)</f>
        <v>20000</v>
      </c>
      <c r="N29" s="218">
        <f t="shared" si="2"/>
        <v>24.2600679281902</v>
      </c>
      <c r="O29" s="45"/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3">
        <v>27600</v>
      </c>
      <c r="J30" s="243">
        <v>27600</v>
      </c>
      <c r="K30" s="388">
        <f>5000+5000</f>
        <v>10000</v>
      </c>
      <c r="L30" s="243">
        <v>0</v>
      </c>
      <c r="M30" s="262">
        <f t="shared" si="10"/>
        <v>10000</v>
      </c>
      <c r="N30" s="218">
        <f t="shared" si="2"/>
        <v>36.231884057971016</v>
      </c>
    </row>
    <row r="31" spans="1:15" ht="12.95" customHeight="1">
      <c r="B31" s="10"/>
      <c r="C31" s="11"/>
      <c r="D31" s="11"/>
      <c r="E31" s="170"/>
      <c r="F31" s="184"/>
      <c r="G31" s="203"/>
      <c r="H31" s="472"/>
      <c r="I31" s="243"/>
      <c r="J31" s="243"/>
      <c r="K31" s="388"/>
      <c r="L31" s="243"/>
      <c r="M31" s="263"/>
      <c r="N31" s="218" t="str">
        <f t="shared" si="2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34" t="s">
        <v>821</v>
      </c>
      <c r="J32" s="434" t="s">
        <v>821</v>
      </c>
      <c r="K32" s="548" t="s">
        <v>907</v>
      </c>
      <c r="L32" s="434"/>
      <c r="M32" s="266" t="s">
        <v>907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3060530</v>
      </c>
      <c r="J33" s="172">
        <f>J8+J13+J16+J28</f>
        <v>3060530</v>
      </c>
      <c r="K33" s="401">
        <f>K8+K13+K16+K28</f>
        <v>3157350</v>
      </c>
      <c r="L33" s="172">
        <f>L8+L13+L16+L28</f>
        <v>0</v>
      </c>
      <c r="M33" s="264">
        <f>M8+M13+M16+M28</f>
        <v>3157350</v>
      </c>
      <c r="N33" s="217">
        <f>IF(J33=0,"",M33/J33*100)</f>
        <v>103.16350436035589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/>
      <c r="J34" s="15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17"/>
      <c r="J36" s="17"/>
      <c r="K36" s="16"/>
      <c r="L36" s="17"/>
      <c r="M36" s="271"/>
      <c r="N36" s="220"/>
    </row>
    <row r="37" spans="1:14" ht="12.95" customHeight="1">
      <c r="F37" s="186"/>
      <c r="G37" s="205"/>
      <c r="L37" s="565"/>
      <c r="M37" s="268"/>
    </row>
    <row r="38" spans="1:14" ht="12.95" customHeight="1">
      <c r="F38" s="186"/>
      <c r="G38" s="205"/>
      <c r="K38" s="60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B42" s="45"/>
      <c r="F42" s="186"/>
      <c r="G42" s="205"/>
      <c r="M42" s="268"/>
    </row>
    <row r="43" spans="1:14" ht="12.95" customHeight="1">
      <c r="B43" s="45"/>
      <c r="F43" s="186"/>
      <c r="G43" s="205"/>
      <c r="M43" s="268"/>
    </row>
    <row r="44" spans="1:14" ht="12.95" customHeight="1">
      <c r="B44" s="45"/>
      <c r="F44" s="186"/>
      <c r="G44" s="205"/>
      <c r="M44" s="268"/>
    </row>
    <row r="45" spans="1:14" ht="12.95" customHeight="1">
      <c r="B45" s="45"/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28"/>
  <dimension ref="A1:P96"/>
  <sheetViews>
    <sheetView topLeftCell="A4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699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114</v>
      </c>
      <c r="E7" s="459" t="s">
        <v>741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624930</v>
      </c>
      <c r="J8" s="244">
        <f t="shared" ref="J8" si="1">SUM(J9:J12)</f>
        <v>624930</v>
      </c>
      <c r="K8" s="532">
        <f>SUM(K9:K12)</f>
        <v>672900</v>
      </c>
      <c r="L8" s="244">
        <f>SUM(L9:L12)</f>
        <v>0</v>
      </c>
      <c r="M8" s="261">
        <f>SUM(M9:M12)</f>
        <v>672900</v>
      </c>
      <c r="N8" s="217">
        <f t="shared" ref="N8:N31" si="2">IF(J8=0,"",M8/J8*100)</f>
        <v>107.67605971868849</v>
      </c>
      <c r="P8" s="52"/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530150</v>
      </c>
      <c r="J9" s="245">
        <v>530150</v>
      </c>
      <c r="K9" s="391">
        <f>586230+1500-16000</f>
        <v>571730</v>
      </c>
      <c r="L9" s="245">
        <v>0</v>
      </c>
      <c r="M9" s="262">
        <f>SUM(K9:L9)</f>
        <v>571730</v>
      </c>
      <c r="N9" s="218">
        <f t="shared" si="2"/>
        <v>107.84306328397624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94780</v>
      </c>
      <c r="J10" s="245">
        <v>94780</v>
      </c>
      <c r="K10" s="391">
        <f>99670+1500</f>
        <v>101170</v>
      </c>
      <c r="L10" s="245">
        <v>0</v>
      </c>
      <c r="M10" s="262">
        <f t="shared" ref="M10:M11" si="3">SUM(K10:L10)</f>
        <v>101170</v>
      </c>
      <c r="N10" s="218">
        <f t="shared" si="2"/>
        <v>106.74192867693606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5"/>
      <c r="J12" s="245"/>
      <c r="K12" s="391"/>
      <c r="L12" s="245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56520</v>
      </c>
      <c r="J13" s="244">
        <f t="shared" si="4"/>
        <v>56520</v>
      </c>
      <c r="K13" s="532">
        <f>K14</f>
        <v>60860</v>
      </c>
      <c r="L13" s="244">
        <f>L14</f>
        <v>0</v>
      </c>
      <c r="M13" s="261">
        <f>M14</f>
        <v>60860</v>
      </c>
      <c r="N13" s="217">
        <f t="shared" si="2"/>
        <v>107.67869780608635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56520</v>
      </c>
      <c r="J14" s="245">
        <v>56520</v>
      </c>
      <c r="K14" s="391">
        <f>61560+800-1500</f>
        <v>60860</v>
      </c>
      <c r="L14" s="245">
        <v>0</v>
      </c>
      <c r="M14" s="262">
        <f>SUM(K14:L14)</f>
        <v>60860</v>
      </c>
      <c r="N14" s="218">
        <f t="shared" si="2"/>
        <v>107.67869780608635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50250</v>
      </c>
      <c r="J16" s="242">
        <f t="shared" ref="J16" si="6">SUM(J17:J26)</f>
        <v>50250</v>
      </c>
      <c r="K16" s="533">
        <f>SUM(K17:K26)</f>
        <v>55880</v>
      </c>
      <c r="L16" s="242">
        <f>SUM(L17:L26)</f>
        <v>0</v>
      </c>
      <c r="M16" s="264">
        <f>SUM(M17:M26)</f>
        <v>55880</v>
      </c>
      <c r="N16" s="217">
        <f t="shared" si="2"/>
        <v>111.2039800995025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1800</v>
      </c>
      <c r="J17" s="245">
        <v>1800</v>
      </c>
      <c r="K17" s="390">
        <v>2500</v>
      </c>
      <c r="L17" s="241">
        <v>0</v>
      </c>
      <c r="M17" s="262">
        <f t="shared" ref="M17:M26" si="7">SUM(K17:L17)</f>
        <v>2500</v>
      </c>
      <c r="N17" s="218">
        <f t="shared" si="2"/>
        <v>138.88888888888889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18700</v>
      </c>
      <c r="J18" s="245">
        <v>18700</v>
      </c>
      <c r="K18" s="390">
        <v>18700</v>
      </c>
      <c r="L18" s="241">
        <v>0</v>
      </c>
      <c r="M18" s="262">
        <f t="shared" si="7"/>
        <v>18700</v>
      </c>
      <c r="N18" s="218">
        <f t="shared" si="2"/>
        <v>100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3300</v>
      </c>
      <c r="J19" s="245">
        <v>3300</v>
      </c>
      <c r="K19" s="390">
        <v>3200</v>
      </c>
      <c r="L19" s="241">
        <v>0</v>
      </c>
      <c r="M19" s="262">
        <f t="shared" si="7"/>
        <v>3200</v>
      </c>
      <c r="N19" s="218">
        <f t="shared" si="2"/>
        <v>96.969696969696969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10700</v>
      </c>
      <c r="J20" s="245">
        <v>10700</v>
      </c>
      <c r="K20" s="390">
        <v>11000</v>
      </c>
      <c r="L20" s="241">
        <v>0</v>
      </c>
      <c r="M20" s="262">
        <f t="shared" si="7"/>
        <v>11000</v>
      </c>
      <c r="N20" s="218">
        <f t="shared" si="2"/>
        <v>102.803738317757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300</v>
      </c>
      <c r="J21" s="245">
        <v>300</v>
      </c>
      <c r="K21" s="390">
        <v>300</v>
      </c>
      <c r="L21" s="241">
        <v>0</v>
      </c>
      <c r="M21" s="262">
        <f t="shared" si="7"/>
        <v>300</v>
      </c>
      <c r="N21" s="218">
        <f t="shared" si="2"/>
        <v>100</v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9500</v>
      </c>
      <c r="J23" s="245">
        <v>9500</v>
      </c>
      <c r="K23" s="391">
        <v>11500</v>
      </c>
      <c r="L23" s="245">
        <v>0</v>
      </c>
      <c r="M23" s="262">
        <f t="shared" si="7"/>
        <v>11500</v>
      </c>
      <c r="N23" s="218">
        <f t="shared" si="2"/>
        <v>121.05263157894737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680</v>
      </c>
      <c r="L24" s="245">
        <v>0</v>
      </c>
      <c r="M24" s="262">
        <f t="shared" si="7"/>
        <v>680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5950</v>
      </c>
      <c r="J25" s="245">
        <v>5950</v>
      </c>
      <c r="K25" s="391">
        <v>8000</v>
      </c>
      <c r="L25" s="245">
        <v>0</v>
      </c>
      <c r="M25" s="262">
        <f t="shared" si="7"/>
        <v>8000</v>
      </c>
      <c r="N25" s="218">
        <f t="shared" si="2"/>
        <v>134.45378151260505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2">
        <v>0</v>
      </c>
      <c r="L26" s="238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SUM(I29:I30)</f>
        <v>11400</v>
      </c>
      <c r="J28" s="244">
        <f t="shared" ref="J28" si="9">SUM(J29:J30)</f>
        <v>11400</v>
      </c>
      <c r="K28" s="532">
        <f>SUM(K29:K30)</f>
        <v>13000</v>
      </c>
      <c r="L28" s="244">
        <f>SUM(L29:L30)</f>
        <v>0</v>
      </c>
      <c r="M28" s="264">
        <f>SUM(M29:M30)</f>
        <v>13000</v>
      </c>
      <c r="N28" s="217">
        <f t="shared" si="2"/>
        <v>114.03508771929825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8000</v>
      </c>
      <c r="J29" s="245">
        <v>8000</v>
      </c>
      <c r="K29" s="391">
        <v>10000</v>
      </c>
      <c r="L29" s="245">
        <v>0</v>
      </c>
      <c r="M29" s="262">
        <f t="shared" ref="M29:M30" si="10">SUM(K29:L29)</f>
        <v>10000</v>
      </c>
      <c r="N29" s="218">
        <f t="shared" si="2"/>
        <v>125</v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3400</v>
      </c>
      <c r="J30" s="245">
        <v>3400</v>
      </c>
      <c r="K30" s="391">
        <v>3000</v>
      </c>
      <c r="L30" s="245">
        <v>0</v>
      </c>
      <c r="M30" s="262">
        <f t="shared" si="10"/>
        <v>3000</v>
      </c>
      <c r="N30" s="218">
        <f t="shared" si="2"/>
        <v>88.235294117647058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34" t="s">
        <v>822</v>
      </c>
      <c r="J32" s="434" t="s">
        <v>822</v>
      </c>
      <c r="K32" s="548" t="s">
        <v>908</v>
      </c>
      <c r="L32" s="434"/>
      <c r="M32" s="266" t="s">
        <v>908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743100</v>
      </c>
      <c r="J33" s="172">
        <f>J8+J13+J16+J28</f>
        <v>743100</v>
      </c>
      <c r="K33" s="401">
        <f>K8+K13+K16+K28</f>
        <v>802640</v>
      </c>
      <c r="L33" s="172">
        <f>L8+L13+L16+L28</f>
        <v>0</v>
      </c>
      <c r="M33" s="264">
        <f>M8+M13+M16+M28</f>
        <v>802640</v>
      </c>
      <c r="N33" s="217">
        <f>IF(J33=0,"",M33/J33*100)</f>
        <v>108.01238056789127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B44" s="45"/>
      <c r="F44" s="186"/>
      <c r="G44" s="205"/>
      <c r="M44" s="270"/>
    </row>
    <row r="45" spans="1:14" ht="12.95" customHeight="1">
      <c r="B45" s="45"/>
      <c r="F45" s="186"/>
      <c r="G45" s="205"/>
      <c r="M45" s="270"/>
    </row>
    <row r="46" spans="1:14" ht="12.95" customHeight="1">
      <c r="B46" s="45"/>
      <c r="F46" s="186"/>
      <c r="G46" s="205"/>
      <c r="M46" s="270"/>
    </row>
    <row r="47" spans="1:14" ht="12.95" customHeight="1">
      <c r="B47" s="45"/>
      <c r="F47" s="186"/>
      <c r="G47" s="205"/>
      <c r="M47" s="270"/>
    </row>
    <row r="48" spans="1:14" ht="12.95" customHeight="1">
      <c r="B48" s="45"/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29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711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115</v>
      </c>
      <c r="E7" s="459" t="s">
        <v>741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814560</v>
      </c>
      <c r="J8" s="244">
        <f t="shared" ref="J8" si="1">SUM(J9:J11)</f>
        <v>814560</v>
      </c>
      <c r="K8" s="532">
        <f>SUM(K9:K11)</f>
        <v>859530</v>
      </c>
      <c r="L8" s="244">
        <f>SUM(L9:L11)</f>
        <v>0</v>
      </c>
      <c r="M8" s="261">
        <f>SUM(M9:M11)</f>
        <v>859530</v>
      </c>
      <c r="N8" s="217">
        <f t="shared" ref="N8:N31" si="2">IF(J8=0,"",M8/J8*100)</f>
        <v>105.52077195050089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671060</v>
      </c>
      <c r="J9" s="245">
        <v>671060</v>
      </c>
      <c r="K9" s="391">
        <f>752540-28000</f>
        <v>724540</v>
      </c>
      <c r="L9" s="245">
        <v>0</v>
      </c>
      <c r="M9" s="262">
        <f>SUM(K9:L9)</f>
        <v>724540</v>
      </c>
      <c r="N9" s="218">
        <f t="shared" si="2"/>
        <v>107.96948111942299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143500</v>
      </c>
      <c r="J10" s="245">
        <v>143500</v>
      </c>
      <c r="K10" s="391">
        <f>128990+1500+4500</f>
        <v>134990</v>
      </c>
      <c r="L10" s="245">
        <v>0</v>
      </c>
      <c r="M10" s="262">
        <f t="shared" ref="M10:M11" si="3">SUM(K10:L10)</f>
        <v>134990</v>
      </c>
      <c r="N10" s="218">
        <f t="shared" si="2"/>
        <v>94.069686411149817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71730</v>
      </c>
      <c r="J13" s="244">
        <f t="shared" si="4"/>
        <v>71730</v>
      </c>
      <c r="K13" s="532">
        <f>K14</f>
        <v>73620</v>
      </c>
      <c r="L13" s="244">
        <f>L14</f>
        <v>0</v>
      </c>
      <c r="M13" s="261">
        <f>M14</f>
        <v>73620</v>
      </c>
      <c r="N13" s="217">
        <f t="shared" si="2"/>
        <v>102.63488080301128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71730</v>
      </c>
      <c r="J14" s="245">
        <v>71730</v>
      </c>
      <c r="K14" s="391">
        <f>73620</f>
        <v>73620</v>
      </c>
      <c r="L14" s="245">
        <v>0</v>
      </c>
      <c r="M14" s="262">
        <f>SUM(K14:L14)</f>
        <v>73620</v>
      </c>
      <c r="N14" s="218">
        <f t="shared" si="2"/>
        <v>102.63488080301128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69300</v>
      </c>
      <c r="J16" s="242">
        <f t="shared" ref="J16" si="6">SUM(J17:J26)</f>
        <v>69300</v>
      </c>
      <c r="K16" s="533">
        <f>SUM(K17:K26)</f>
        <v>74400</v>
      </c>
      <c r="L16" s="242">
        <f>SUM(L17:L26)</f>
        <v>0</v>
      </c>
      <c r="M16" s="264">
        <f>SUM(M17:M26)</f>
        <v>74400</v>
      </c>
      <c r="N16" s="217">
        <f t="shared" si="2"/>
        <v>107.35930735930737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1500</v>
      </c>
      <c r="J17" s="245">
        <v>1500</v>
      </c>
      <c r="K17" s="390">
        <v>2100</v>
      </c>
      <c r="L17" s="241">
        <v>0</v>
      </c>
      <c r="M17" s="262">
        <f t="shared" ref="M17:M26" si="7">SUM(K17:L17)</f>
        <v>2100</v>
      </c>
      <c r="N17" s="218">
        <f t="shared" si="2"/>
        <v>140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33000</v>
      </c>
      <c r="J18" s="245">
        <v>33000</v>
      </c>
      <c r="K18" s="390">
        <v>35000</v>
      </c>
      <c r="L18" s="241">
        <v>0</v>
      </c>
      <c r="M18" s="262">
        <f t="shared" si="7"/>
        <v>35000</v>
      </c>
      <c r="N18" s="218">
        <f t="shared" si="2"/>
        <v>106.06060606060606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2800</v>
      </c>
      <c r="J19" s="245">
        <v>2800</v>
      </c>
      <c r="K19" s="391">
        <v>3000</v>
      </c>
      <c r="L19" s="245">
        <v>0</v>
      </c>
      <c r="M19" s="262">
        <f t="shared" si="7"/>
        <v>3000</v>
      </c>
      <c r="N19" s="218">
        <f t="shared" si="2"/>
        <v>107.14285714285714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10500</v>
      </c>
      <c r="J20" s="245">
        <v>10500</v>
      </c>
      <c r="K20" s="391">
        <v>10000</v>
      </c>
      <c r="L20" s="245">
        <v>0</v>
      </c>
      <c r="M20" s="262">
        <f t="shared" si="7"/>
        <v>10000</v>
      </c>
      <c r="N20" s="218">
        <f t="shared" si="2"/>
        <v>95.238095238095227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1">
        <v>500</v>
      </c>
      <c r="L21" s="245">
        <v>0</v>
      </c>
      <c r="M21" s="262">
        <f t="shared" si="7"/>
        <v>500</v>
      </c>
      <c r="N21" s="218" t="str">
        <f t="shared" si="2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5500</v>
      </c>
      <c r="J23" s="245">
        <v>5500</v>
      </c>
      <c r="K23" s="391">
        <v>10000</v>
      </c>
      <c r="L23" s="245">
        <v>0</v>
      </c>
      <c r="M23" s="262">
        <f t="shared" si="7"/>
        <v>10000</v>
      </c>
      <c r="N23" s="218">
        <f t="shared" si="2"/>
        <v>181.81818181818181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800</v>
      </c>
      <c r="L24" s="245">
        <v>0</v>
      </c>
      <c r="M24" s="262">
        <f t="shared" si="7"/>
        <v>800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16000</v>
      </c>
      <c r="J25" s="245">
        <v>16000</v>
      </c>
      <c r="K25" s="391">
        <v>13000</v>
      </c>
      <c r="L25" s="245">
        <v>0</v>
      </c>
      <c r="M25" s="262">
        <f t="shared" si="7"/>
        <v>13000</v>
      </c>
      <c r="N25" s="218">
        <f t="shared" si="2"/>
        <v>81.25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SUM(I29:I30)</f>
        <v>15000</v>
      </c>
      <c r="J28" s="244">
        <f t="shared" ref="J28" si="9">SUM(J29:J30)</f>
        <v>15000</v>
      </c>
      <c r="K28" s="532">
        <f>SUM(K29:K30)</f>
        <v>20000</v>
      </c>
      <c r="L28" s="244">
        <f>SUM(L29:L30)</f>
        <v>0</v>
      </c>
      <c r="M28" s="264">
        <f>SUM(M29:M30)</f>
        <v>20000</v>
      </c>
      <c r="N28" s="217">
        <f t="shared" si="2"/>
        <v>133.33333333333331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5000</v>
      </c>
      <c r="L29" s="245">
        <v>0</v>
      </c>
      <c r="M29" s="262">
        <f t="shared" ref="M29:M30" si="10">SUM(K29:L29)</f>
        <v>5000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15000</v>
      </c>
      <c r="J30" s="245">
        <v>15000</v>
      </c>
      <c r="K30" s="391">
        <v>15000</v>
      </c>
      <c r="L30" s="245">
        <v>0</v>
      </c>
      <c r="M30" s="262">
        <f t="shared" si="10"/>
        <v>15000</v>
      </c>
      <c r="N30" s="218">
        <f t="shared" si="2"/>
        <v>100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08" t="s">
        <v>823</v>
      </c>
      <c r="J32" s="408" t="s">
        <v>823</v>
      </c>
      <c r="K32" s="535" t="s">
        <v>823</v>
      </c>
      <c r="L32" s="434"/>
      <c r="M32" s="266" t="s">
        <v>823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970590</v>
      </c>
      <c r="J33" s="172">
        <f>J8+J13+J16+J28</f>
        <v>970590</v>
      </c>
      <c r="K33" s="401">
        <f>K8+K13+K16+K28</f>
        <v>1027550</v>
      </c>
      <c r="L33" s="172">
        <f>L8+L13+L16+L28</f>
        <v>0</v>
      </c>
      <c r="M33" s="264">
        <f>M8+M13+M16+M28</f>
        <v>1027550</v>
      </c>
      <c r="N33" s="217">
        <f>IF(J33=0,"",M33/J33*100)</f>
        <v>105.86859539043263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403"/>
      <c r="J35" s="163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0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698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129</v>
      </c>
      <c r="E7" s="459" t="s">
        <v>741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927830</v>
      </c>
      <c r="J8" s="244">
        <f t="shared" ref="J8" si="1">SUM(J9:J11)</f>
        <v>927830</v>
      </c>
      <c r="K8" s="532">
        <f>SUM(K9:K11)</f>
        <v>996990</v>
      </c>
      <c r="L8" s="244">
        <f>SUM(L9:L11)</f>
        <v>0</v>
      </c>
      <c r="M8" s="261">
        <f>SUM(M9:M11)</f>
        <v>996990</v>
      </c>
      <c r="N8" s="217">
        <f t="shared" ref="N8:N31" si="2">IF(J8=0,"",M8/J8*100)</f>
        <v>107.453951693737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767900</v>
      </c>
      <c r="J9" s="245">
        <v>767900</v>
      </c>
      <c r="K9" s="391">
        <f>840270+2640+2*450+790-18000</f>
        <v>826600</v>
      </c>
      <c r="L9" s="245">
        <v>0</v>
      </c>
      <c r="M9" s="262">
        <f>SUM(K9:L9)</f>
        <v>826600</v>
      </c>
      <c r="N9" s="218">
        <f t="shared" si="2"/>
        <v>107.64422450839952</v>
      </c>
      <c r="O9" s="45"/>
      <c r="P9" s="51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159930</v>
      </c>
      <c r="J10" s="245">
        <v>159930</v>
      </c>
      <c r="K10" s="391">
        <f>161140+1500+4000+2*1000+1750</f>
        <v>170390</v>
      </c>
      <c r="L10" s="245">
        <v>0</v>
      </c>
      <c r="M10" s="262">
        <f t="shared" ref="M10:M11" si="3">SUM(K10:L10)</f>
        <v>170390</v>
      </c>
      <c r="N10" s="218">
        <f t="shared" si="2"/>
        <v>106.54036140811604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81320</v>
      </c>
      <c r="J13" s="244">
        <f t="shared" si="4"/>
        <v>81320</v>
      </c>
      <c r="K13" s="532">
        <f>K14</f>
        <v>87320</v>
      </c>
      <c r="L13" s="244">
        <f>L14</f>
        <v>0</v>
      </c>
      <c r="M13" s="261">
        <f>M14</f>
        <v>87320</v>
      </c>
      <c r="N13" s="217">
        <f t="shared" si="2"/>
        <v>107.37825873093949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81320</v>
      </c>
      <c r="J14" s="245">
        <v>81320</v>
      </c>
      <c r="K14" s="391">
        <f>88230+2*50+90-1100</f>
        <v>87320</v>
      </c>
      <c r="L14" s="245">
        <v>0</v>
      </c>
      <c r="M14" s="262">
        <f>SUM(K14:L14)</f>
        <v>87320</v>
      </c>
      <c r="N14" s="218">
        <f t="shared" si="2"/>
        <v>107.37825873093949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96070</v>
      </c>
      <c r="J16" s="242">
        <f t="shared" ref="J16" si="6">SUM(J17:J26)</f>
        <v>96070</v>
      </c>
      <c r="K16" s="533">
        <f>SUM(K17:K26)</f>
        <v>113660</v>
      </c>
      <c r="L16" s="242">
        <f>SUM(L17:L26)</f>
        <v>0</v>
      </c>
      <c r="M16" s="264">
        <f>SUM(M17:M26)</f>
        <v>113660</v>
      </c>
      <c r="N16" s="217">
        <f t="shared" si="2"/>
        <v>118.30956594150099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1000</v>
      </c>
      <c r="J17" s="245">
        <v>1000</v>
      </c>
      <c r="K17" s="390">
        <v>1600</v>
      </c>
      <c r="L17" s="241">
        <v>0</v>
      </c>
      <c r="M17" s="262">
        <f t="shared" ref="M17:M26" si="7">SUM(K17:L17)</f>
        <v>1600</v>
      </c>
      <c r="N17" s="218">
        <f t="shared" si="2"/>
        <v>160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55000</v>
      </c>
      <c r="J18" s="245">
        <v>55000</v>
      </c>
      <c r="K18" s="390">
        <v>65000</v>
      </c>
      <c r="L18" s="241">
        <v>0</v>
      </c>
      <c r="M18" s="262">
        <f t="shared" si="7"/>
        <v>65000</v>
      </c>
      <c r="N18" s="218">
        <f t="shared" si="2"/>
        <v>118.18181818181819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5000</v>
      </c>
      <c r="J19" s="245">
        <v>5000</v>
      </c>
      <c r="K19" s="390">
        <v>6000</v>
      </c>
      <c r="L19" s="241">
        <v>0</v>
      </c>
      <c r="M19" s="262">
        <f t="shared" si="7"/>
        <v>6000</v>
      </c>
      <c r="N19" s="218">
        <f t="shared" si="2"/>
        <v>120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14000</v>
      </c>
      <c r="J20" s="245">
        <v>14000</v>
      </c>
      <c r="K20" s="390">
        <v>13000</v>
      </c>
      <c r="L20" s="241">
        <v>0</v>
      </c>
      <c r="M20" s="262">
        <f t="shared" si="7"/>
        <v>13000</v>
      </c>
      <c r="N20" s="218">
        <f t="shared" si="2"/>
        <v>92.857142857142861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1000</v>
      </c>
      <c r="J21" s="245">
        <v>1000</v>
      </c>
      <c r="K21" s="391">
        <v>1000</v>
      </c>
      <c r="L21" s="245">
        <v>0</v>
      </c>
      <c r="M21" s="262">
        <f t="shared" si="7"/>
        <v>1000</v>
      </c>
      <c r="N21" s="218">
        <f t="shared" si="2"/>
        <v>100</v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10000</v>
      </c>
      <c r="J23" s="245">
        <v>10000</v>
      </c>
      <c r="K23" s="391">
        <v>14000</v>
      </c>
      <c r="L23" s="245">
        <v>0</v>
      </c>
      <c r="M23" s="262">
        <f t="shared" si="7"/>
        <v>14000</v>
      </c>
      <c r="N23" s="218">
        <f t="shared" si="2"/>
        <v>140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1070</v>
      </c>
      <c r="J24" s="245">
        <v>1070</v>
      </c>
      <c r="K24" s="391">
        <f>1100+960</f>
        <v>2060</v>
      </c>
      <c r="L24" s="245">
        <v>0</v>
      </c>
      <c r="M24" s="262">
        <f t="shared" si="7"/>
        <v>2060</v>
      </c>
      <c r="N24" s="218">
        <f t="shared" si="2"/>
        <v>192.52336448598132</v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9000</v>
      </c>
      <c r="J25" s="245">
        <v>9000</v>
      </c>
      <c r="K25" s="391">
        <v>11000</v>
      </c>
      <c r="L25" s="245">
        <v>0</v>
      </c>
      <c r="M25" s="262">
        <f t="shared" si="7"/>
        <v>11000</v>
      </c>
      <c r="N25" s="218">
        <f t="shared" si="2"/>
        <v>122.22222222222223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38">
        <v>0</v>
      </c>
      <c r="J26" s="238">
        <v>0</v>
      </c>
      <c r="K26" s="392">
        <v>0</v>
      </c>
      <c r="L26" s="238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SUM(I29:I30)</f>
        <v>12000</v>
      </c>
      <c r="J28" s="244">
        <f t="shared" ref="J28" si="9">SUM(J29:J30)</f>
        <v>12000</v>
      </c>
      <c r="K28" s="532">
        <f>SUM(K29:K30)</f>
        <v>15000</v>
      </c>
      <c r="L28" s="244">
        <f>SUM(L29:L30)</f>
        <v>0</v>
      </c>
      <c r="M28" s="264">
        <f>SUM(M29:M30)</f>
        <v>15000</v>
      </c>
      <c r="N28" s="217">
        <f t="shared" si="2"/>
        <v>125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8000</v>
      </c>
      <c r="J29" s="245">
        <v>8000</v>
      </c>
      <c r="K29" s="391">
        <v>10000</v>
      </c>
      <c r="L29" s="245">
        <v>0</v>
      </c>
      <c r="M29" s="262">
        <f t="shared" ref="M29:M30" si="10">SUM(K29:L29)</f>
        <v>10000</v>
      </c>
      <c r="N29" s="218">
        <f t="shared" si="2"/>
        <v>125</v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4000</v>
      </c>
      <c r="J30" s="245">
        <v>4000</v>
      </c>
      <c r="K30" s="391">
        <v>5000</v>
      </c>
      <c r="L30" s="245">
        <v>0</v>
      </c>
      <c r="M30" s="262">
        <f t="shared" si="10"/>
        <v>5000</v>
      </c>
      <c r="N30" s="218">
        <f t="shared" si="2"/>
        <v>125</v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08" t="s">
        <v>824</v>
      </c>
      <c r="J32" s="408" t="s">
        <v>824</v>
      </c>
      <c r="K32" s="535" t="s">
        <v>909</v>
      </c>
      <c r="L32" s="408"/>
      <c r="M32" s="266" t="s">
        <v>909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1117220</v>
      </c>
      <c r="J33" s="172">
        <f>J8+J13+J16+J28</f>
        <v>1117220</v>
      </c>
      <c r="K33" s="401">
        <f>K8+K13+K16+K28</f>
        <v>1212970</v>
      </c>
      <c r="L33" s="172">
        <f>L8+L13+L16+L28</f>
        <v>0</v>
      </c>
      <c r="M33" s="264">
        <f>M8+M13+M16+M28</f>
        <v>1212970</v>
      </c>
      <c r="N33" s="217">
        <f>IF(J33=0,"",M33/J33*100)</f>
        <v>108.57038005048246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B44" s="45"/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1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700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130</v>
      </c>
      <c r="E7" s="459" t="s">
        <v>741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420500</v>
      </c>
      <c r="J8" s="244">
        <f t="shared" ref="J8" si="1">SUM(J9:J11)</f>
        <v>420500</v>
      </c>
      <c r="K8" s="532">
        <f>SUM(K9:K11)</f>
        <v>396090</v>
      </c>
      <c r="L8" s="244">
        <f>SUM(L9:L11)</f>
        <v>0</v>
      </c>
      <c r="M8" s="261">
        <f>SUM(M9:M11)</f>
        <v>396090</v>
      </c>
      <c r="N8" s="217">
        <f t="shared" ref="N8:N31" si="2">IF(J8=0,"",M8/J8*100)</f>
        <v>94.195005945303208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346850</v>
      </c>
      <c r="J9" s="245">
        <v>346850</v>
      </c>
      <c r="K9" s="391">
        <f>318520+2000+790</f>
        <v>321310</v>
      </c>
      <c r="L9" s="245">
        <v>0</v>
      </c>
      <c r="M9" s="262">
        <f>SUM(K9:L9)</f>
        <v>321310</v>
      </c>
      <c r="N9" s="218">
        <f t="shared" si="2"/>
        <v>92.636586420642928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73650</v>
      </c>
      <c r="J10" s="245">
        <v>73650</v>
      </c>
      <c r="K10" s="391">
        <f>73030+1750</f>
        <v>74780</v>
      </c>
      <c r="L10" s="245">
        <v>0</v>
      </c>
      <c r="M10" s="262">
        <f t="shared" ref="M10:M11" si="3">SUM(K10:L10)</f>
        <v>74780</v>
      </c>
      <c r="N10" s="218">
        <f t="shared" si="2"/>
        <v>101.53428377460965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36940</v>
      </c>
      <c r="J13" s="244">
        <f t="shared" si="4"/>
        <v>36940</v>
      </c>
      <c r="K13" s="532">
        <f>K14</f>
        <v>34340</v>
      </c>
      <c r="L13" s="244">
        <f>L14</f>
        <v>0</v>
      </c>
      <c r="M13" s="261">
        <f>M14</f>
        <v>34340</v>
      </c>
      <c r="N13" s="217">
        <f t="shared" si="2"/>
        <v>92.961559285327553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36940</v>
      </c>
      <c r="J14" s="245">
        <v>36940</v>
      </c>
      <c r="K14" s="391">
        <f>33450+800+90</f>
        <v>34340</v>
      </c>
      <c r="L14" s="245">
        <v>0</v>
      </c>
      <c r="M14" s="262">
        <f>SUM(K14:L14)</f>
        <v>34340</v>
      </c>
      <c r="N14" s="218">
        <f t="shared" si="2"/>
        <v>92.961559285327553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48900</v>
      </c>
      <c r="J16" s="242">
        <f t="shared" ref="J16" si="6">SUM(J17:J26)</f>
        <v>48900</v>
      </c>
      <c r="K16" s="533">
        <f>SUM(K17:K26)</f>
        <v>57860</v>
      </c>
      <c r="L16" s="242">
        <f>SUM(L17:L26)</f>
        <v>0</v>
      </c>
      <c r="M16" s="264">
        <f>SUM(M17:M26)</f>
        <v>57860</v>
      </c>
      <c r="N16" s="217">
        <f t="shared" si="2"/>
        <v>118.32310838445808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1000</v>
      </c>
      <c r="J17" s="245">
        <v>1000</v>
      </c>
      <c r="K17" s="390">
        <v>1400</v>
      </c>
      <c r="L17" s="241">
        <v>0</v>
      </c>
      <c r="M17" s="262">
        <f t="shared" ref="M17:M26" si="7">SUM(K17:L17)</f>
        <v>1400</v>
      </c>
      <c r="N17" s="218">
        <f t="shared" si="2"/>
        <v>140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16000</v>
      </c>
      <c r="J18" s="245">
        <v>16000</v>
      </c>
      <c r="K18" s="390">
        <v>16000</v>
      </c>
      <c r="L18" s="241">
        <v>0</v>
      </c>
      <c r="M18" s="262">
        <f t="shared" si="7"/>
        <v>16000</v>
      </c>
      <c r="N18" s="218">
        <f t="shared" si="2"/>
        <v>100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2900</v>
      </c>
      <c r="J19" s="245">
        <v>2900</v>
      </c>
      <c r="K19" s="390">
        <v>3000</v>
      </c>
      <c r="L19" s="241">
        <v>0</v>
      </c>
      <c r="M19" s="262">
        <f t="shared" si="7"/>
        <v>3000</v>
      </c>
      <c r="N19" s="218">
        <f t="shared" si="2"/>
        <v>103.44827586206897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6200</v>
      </c>
      <c r="J20" s="245">
        <v>6200</v>
      </c>
      <c r="K20" s="390">
        <v>9500</v>
      </c>
      <c r="L20" s="241">
        <v>0</v>
      </c>
      <c r="M20" s="262">
        <f t="shared" si="7"/>
        <v>9500</v>
      </c>
      <c r="N20" s="218">
        <f t="shared" si="2"/>
        <v>153.2258064516129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300</v>
      </c>
      <c r="J21" s="245">
        <v>300</v>
      </c>
      <c r="K21" s="390">
        <v>600</v>
      </c>
      <c r="L21" s="241">
        <v>0</v>
      </c>
      <c r="M21" s="262">
        <f t="shared" si="7"/>
        <v>600</v>
      </c>
      <c r="N21" s="218">
        <f t="shared" si="2"/>
        <v>200</v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2500</v>
      </c>
      <c r="J23" s="245">
        <v>2500</v>
      </c>
      <c r="K23" s="390">
        <v>7000</v>
      </c>
      <c r="L23" s="241">
        <v>0</v>
      </c>
      <c r="M23" s="262">
        <f t="shared" si="7"/>
        <v>7000</v>
      </c>
      <c r="N23" s="218">
        <f t="shared" si="2"/>
        <v>280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360</v>
      </c>
      <c r="L24" s="245">
        <v>0</v>
      </c>
      <c r="M24" s="262">
        <f t="shared" si="7"/>
        <v>360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20000</v>
      </c>
      <c r="J25" s="245">
        <v>20000</v>
      </c>
      <c r="K25" s="391">
        <v>20000</v>
      </c>
      <c r="L25" s="245">
        <v>0</v>
      </c>
      <c r="M25" s="262">
        <f t="shared" si="7"/>
        <v>20000</v>
      </c>
      <c r="N25" s="218">
        <f t="shared" si="2"/>
        <v>100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4" ht="12.95" customHeight="1">
      <c r="B27" s="10"/>
      <c r="C27" s="11"/>
      <c r="D27" s="11"/>
      <c r="E27" s="170"/>
      <c r="F27" s="184"/>
      <c r="G27" s="203"/>
      <c r="H27" s="24"/>
      <c r="I27" s="244"/>
      <c r="J27" s="244"/>
      <c r="K27" s="532"/>
      <c r="L27" s="244"/>
      <c r="M27" s="264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SUM(I29:I30)</f>
        <v>0</v>
      </c>
      <c r="J28" s="244">
        <f t="shared" ref="J28" si="9">SUM(J29:J30)</f>
        <v>0</v>
      </c>
      <c r="K28" s="532">
        <f>SUM(K29:K30)</f>
        <v>3500</v>
      </c>
      <c r="L28" s="244">
        <f>SUM(L29:L30)</f>
        <v>0</v>
      </c>
      <c r="M28" s="264">
        <f>SUM(M29:M30)</f>
        <v>3500</v>
      </c>
      <c r="N28" s="217" t="str">
        <f t="shared" si="2"/>
        <v/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ref="M29:M30" si="10">SUM(K29:L29)</f>
        <v>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0</v>
      </c>
      <c r="J30" s="245">
        <v>0</v>
      </c>
      <c r="K30" s="391">
        <v>3500</v>
      </c>
      <c r="L30" s="245">
        <v>0</v>
      </c>
      <c r="M30" s="262">
        <f t="shared" si="10"/>
        <v>3500</v>
      </c>
      <c r="N30" s="218" t="str">
        <f t="shared" si="2"/>
        <v/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34" t="s">
        <v>825</v>
      </c>
      <c r="J32" s="434" t="s">
        <v>825</v>
      </c>
      <c r="K32" s="548" t="s">
        <v>910</v>
      </c>
      <c r="L32" s="434"/>
      <c r="M32" s="266" t="s">
        <v>910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506340</v>
      </c>
      <c r="J33" s="172">
        <f>J8+J13+J16+J28</f>
        <v>506340</v>
      </c>
      <c r="K33" s="401">
        <f>K8+K13+K16+K28</f>
        <v>491790</v>
      </c>
      <c r="L33" s="172">
        <f>L8+L13+L16+L28</f>
        <v>0</v>
      </c>
      <c r="M33" s="264">
        <f>M8+M13+M16+M28</f>
        <v>491790</v>
      </c>
      <c r="N33" s="217">
        <f>IF(J33=0,"",M33/J33*100)</f>
        <v>97.126436781609186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/>
      <c r="J34" s="172"/>
      <c r="K34" s="401"/>
      <c r="L34" s="172"/>
      <c r="M34" s="264"/>
      <c r="N34" s="218" t="str">
        <f>IF(J34=0,"",M34/J34*100)</f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29"/>
      <c r="J35" s="29"/>
      <c r="K35" s="400"/>
      <c r="L35" s="163"/>
      <c r="M35" s="263"/>
      <c r="N35" s="218" t="str">
        <f>IF(J35=0,"",M35/J35*100)</f>
        <v/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B44" s="45"/>
      <c r="F44" s="186"/>
      <c r="G44" s="205"/>
      <c r="M44" s="270"/>
    </row>
    <row r="45" spans="1:14" ht="12.95" customHeight="1">
      <c r="B45" s="45"/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2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701</v>
      </c>
      <c r="C2" s="877"/>
      <c r="D2" s="877"/>
      <c r="E2" s="877"/>
      <c r="F2" s="877"/>
      <c r="G2" s="877"/>
      <c r="H2" s="877"/>
      <c r="I2" s="877"/>
      <c r="J2" s="911"/>
      <c r="K2" s="911"/>
      <c r="L2" s="911"/>
      <c r="M2" s="911"/>
      <c r="N2" s="912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127</v>
      </c>
      <c r="C7" s="7" t="s">
        <v>128</v>
      </c>
      <c r="D7" s="7" t="s">
        <v>131</v>
      </c>
      <c r="E7" s="459" t="s">
        <v>741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622330</v>
      </c>
      <c r="J8" s="244">
        <f t="shared" ref="J8" si="1">SUM(J9:J11)</f>
        <v>622330</v>
      </c>
      <c r="K8" s="532">
        <f>SUM(K9:K11)</f>
        <v>658520</v>
      </c>
      <c r="L8" s="244">
        <f>SUM(L9:L11)</f>
        <v>0</v>
      </c>
      <c r="M8" s="261">
        <f>SUM(M9:M11)</f>
        <v>658520</v>
      </c>
      <c r="N8" s="217">
        <f t="shared" ref="N8:N31" si="2">IF(J8=0,"",M8/J8*100)</f>
        <v>105.81524271688653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512070</v>
      </c>
      <c r="J9" s="245">
        <v>512070</v>
      </c>
      <c r="K9" s="391">
        <f>543880+2000+790+2*450</f>
        <v>547570</v>
      </c>
      <c r="L9" s="245">
        <v>0</v>
      </c>
      <c r="M9" s="262">
        <f>SUM(K9:L9)</f>
        <v>547570</v>
      </c>
      <c r="N9" s="218">
        <f t="shared" si="2"/>
        <v>106.93264592731462</v>
      </c>
      <c r="P9" s="51"/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110260</v>
      </c>
      <c r="J10" s="245">
        <v>110260</v>
      </c>
      <c r="K10" s="391">
        <f>107200+1750+2*1000</f>
        <v>110950</v>
      </c>
      <c r="L10" s="245">
        <v>0</v>
      </c>
      <c r="M10" s="262">
        <f t="shared" ref="M10:M11" si="3">SUM(K10:L10)</f>
        <v>110950</v>
      </c>
      <c r="N10" s="218">
        <f t="shared" si="2"/>
        <v>100.62579357881371</v>
      </c>
      <c r="P10" s="51"/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1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  <c r="P12" s="51"/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54100</v>
      </c>
      <c r="J13" s="244">
        <f t="shared" si="4"/>
        <v>54100</v>
      </c>
      <c r="K13" s="532">
        <f>K14</f>
        <v>58100</v>
      </c>
      <c r="L13" s="244">
        <f>L14</f>
        <v>0</v>
      </c>
      <c r="M13" s="261">
        <f>M14</f>
        <v>58100</v>
      </c>
      <c r="N13" s="217">
        <f t="shared" si="2"/>
        <v>107.39371534195934</v>
      </c>
      <c r="P13" s="51"/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54100</v>
      </c>
      <c r="J14" s="245">
        <v>54100</v>
      </c>
      <c r="K14" s="391">
        <f>57110+800+90+2*50</f>
        <v>58100</v>
      </c>
      <c r="L14" s="245">
        <v>0</v>
      </c>
      <c r="M14" s="262">
        <f>SUM(K14:L14)</f>
        <v>58100</v>
      </c>
      <c r="N14" s="218">
        <f t="shared" si="2"/>
        <v>107.39371534195934</v>
      </c>
      <c r="P14" s="51"/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57000</v>
      </c>
      <c r="J16" s="242">
        <f t="shared" ref="J16" si="6">SUM(J17:J26)</f>
        <v>57000</v>
      </c>
      <c r="K16" s="533">
        <f>SUM(K17:K26)</f>
        <v>64920</v>
      </c>
      <c r="L16" s="242">
        <f>SUM(L17:L26)</f>
        <v>0</v>
      </c>
      <c r="M16" s="264">
        <f>SUM(M17:M26)</f>
        <v>64920</v>
      </c>
      <c r="N16" s="217">
        <f t="shared" si="2"/>
        <v>113.89473684210527</v>
      </c>
    </row>
    <row r="17" spans="1:14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3000</v>
      </c>
      <c r="J17" s="245">
        <v>3000</v>
      </c>
      <c r="K17" s="390">
        <v>3200</v>
      </c>
      <c r="L17" s="241">
        <v>0</v>
      </c>
      <c r="M17" s="262">
        <f t="shared" ref="M17:M26" si="7">SUM(K17:L17)</f>
        <v>3200</v>
      </c>
      <c r="N17" s="218">
        <f t="shared" si="2"/>
        <v>106.66666666666667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28500</v>
      </c>
      <c r="J18" s="245">
        <v>28500</v>
      </c>
      <c r="K18" s="390">
        <v>30000</v>
      </c>
      <c r="L18" s="241">
        <v>0</v>
      </c>
      <c r="M18" s="262">
        <f t="shared" si="7"/>
        <v>30000</v>
      </c>
      <c r="N18" s="218">
        <f t="shared" si="2"/>
        <v>105.26315789473684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2200</v>
      </c>
      <c r="J19" s="245">
        <v>2200</v>
      </c>
      <c r="K19" s="390">
        <v>2200</v>
      </c>
      <c r="L19" s="241">
        <v>0</v>
      </c>
      <c r="M19" s="262">
        <f t="shared" si="7"/>
        <v>2200</v>
      </c>
      <c r="N19" s="218">
        <f t="shared" si="2"/>
        <v>100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7500</v>
      </c>
      <c r="J20" s="245">
        <v>7500</v>
      </c>
      <c r="K20" s="391">
        <v>10000</v>
      </c>
      <c r="L20" s="245">
        <v>0</v>
      </c>
      <c r="M20" s="262">
        <f t="shared" si="7"/>
        <v>10000</v>
      </c>
      <c r="N20" s="218">
        <f t="shared" si="2"/>
        <v>133.33333333333331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800</v>
      </c>
      <c r="J21" s="245">
        <v>800</v>
      </c>
      <c r="K21" s="391">
        <v>800</v>
      </c>
      <c r="L21" s="245">
        <v>0</v>
      </c>
      <c r="M21" s="262">
        <f t="shared" si="7"/>
        <v>800</v>
      </c>
      <c r="N21" s="218">
        <f t="shared" si="2"/>
        <v>100</v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7"/>
        <v>0</v>
      </c>
      <c r="N22" s="218" t="str">
        <f t="shared" si="2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8000</v>
      </c>
      <c r="J23" s="245">
        <v>8000</v>
      </c>
      <c r="K23" s="391">
        <v>10000</v>
      </c>
      <c r="L23" s="245">
        <v>0</v>
      </c>
      <c r="M23" s="262">
        <f t="shared" si="7"/>
        <v>10000</v>
      </c>
      <c r="N23" s="218">
        <f t="shared" si="2"/>
        <v>125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720</v>
      </c>
      <c r="L24" s="245">
        <v>0</v>
      </c>
      <c r="M24" s="262">
        <f t="shared" si="7"/>
        <v>720</v>
      </c>
      <c r="N24" s="218" t="str">
        <f t="shared" si="2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7000</v>
      </c>
      <c r="J25" s="245">
        <v>7000</v>
      </c>
      <c r="K25" s="391">
        <v>8000</v>
      </c>
      <c r="L25" s="245">
        <v>0</v>
      </c>
      <c r="M25" s="262">
        <f t="shared" si="7"/>
        <v>8000</v>
      </c>
      <c r="N25" s="218">
        <f t="shared" si="2"/>
        <v>114.28571428571428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4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4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SUM(I29:I31)</f>
        <v>25000</v>
      </c>
      <c r="J28" s="244">
        <f t="shared" ref="J28" si="9">SUM(J29:J31)</f>
        <v>25000</v>
      </c>
      <c r="K28" s="532">
        <f>SUM(K29:K31)</f>
        <v>4000</v>
      </c>
      <c r="L28" s="244">
        <f>SUM(L29:L31)</f>
        <v>0</v>
      </c>
      <c r="M28" s="264">
        <f>SUM(M29:M31)</f>
        <v>4000</v>
      </c>
      <c r="N28" s="217">
        <f t="shared" si="2"/>
        <v>16</v>
      </c>
    </row>
    <row r="29" spans="1:14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ref="M29:M30" si="10">SUM(K29:L29)</f>
        <v>0</v>
      </c>
      <c r="N29" s="218" t="str">
        <f t="shared" si="2"/>
        <v/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25000</v>
      </c>
      <c r="J30" s="245">
        <v>25000</v>
      </c>
      <c r="K30" s="391">
        <v>4000</v>
      </c>
      <c r="L30" s="245">
        <v>0</v>
      </c>
      <c r="M30" s="262">
        <f t="shared" si="10"/>
        <v>4000</v>
      </c>
      <c r="N30" s="218">
        <f t="shared" si="2"/>
        <v>16</v>
      </c>
    </row>
    <row r="31" spans="1:14" ht="12.95" customHeight="1">
      <c r="B31" s="10"/>
      <c r="C31" s="11"/>
      <c r="D31" s="11"/>
      <c r="E31" s="170"/>
      <c r="F31" s="184"/>
      <c r="G31" s="203"/>
      <c r="H31" s="472"/>
      <c r="I31" s="245"/>
      <c r="J31" s="245"/>
      <c r="K31" s="391"/>
      <c r="L31" s="245"/>
      <c r="M31" s="263"/>
      <c r="N31" s="218" t="str">
        <f t="shared" si="2"/>
        <v/>
      </c>
    </row>
    <row r="32" spans="1:14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408" t="s">
        <v>826</v>
      </c>
      <c r="J32" s="408" t="s">
        <v>826</v>
      </c>
      <c r="K32" s="548" t="s">
        <v>826</v>
      </c>
      <c r="L32" s="434"/>
      <c r="M32" s="266" t="s">
        <v>826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758430</v>
      </c>
      <c r="J33" s="172">
        <f>J8+J13+J16+J28</f>
        <v>758430</v>
      </c>
      <c r="K33" s="401">
        <f>K8+K13+K16+K28</f>
        <v>785540</v>
      </c>
      <c r="L33" s="172">
        <f>L8+L13+L16+L28</f>
        <v>0</v>
      </c>
      <c r="M33" s="264">
        <f>M8+M13+M16+M28</f>
        <v>785540</v>
      </c>
      <c r="N33" s="217">
        <f>IF(J33=0,"",M33/J33*100)</f>
        <v>103.57448940574608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>
        <f>I33+'29'!I33+'28'!I33+'27'!I33+'26'!I33+'25'!I33+'24'!I33</f>
        <v>8526470</v>
      </c>
      <c r="J34" s="172">
        <f>J33+'29'!J33+'28'!J33+'27'!J33+'26'!J33+'25'!J33+'24'!J33</f>
        <v>8526470</v>
      </c>
      <c r="K34" s="401">
        <f>K33+'29'!K33+'28'!K33+'27'!K33+'26'!K33+'25'!K33+'24'!K33</f>
        <v>8940220</v>
      </c>
      <c r="L34" s="172">
        <f>L33+'29'!L33+'28'!L33+'27'!L33+'26'!L33+'25'!L33+'24'!L33</f>
        <v>15000</v>
      </c>
      <c r="M34" s="264">
        <f>M33+'29'!M33+'28'!M33+'27'!M33+'26'!M33+'25'!M33+'24'!M33</f>
        <v>8955220</v>
      </c>
      <c r="N34" s="217">
        <f>IF(J34=0,"",M34/J34*100)</f>
        <v>105.02845843590607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I34+'23'!I34+'20'!I46</f>
        <v>14778410</v>
      </c>
      <c r="J35" s="15">
        <f>J34+'23'!J34+'20'!J46</f>
        <v>14778410</v>
      </c>
      <c r="K35" s="401">
        <f>K34+'23'!K34+'20'!K46</f>
        <v>15476420</v>
      </c>
      <c r="L35" s="172">
        <f>L34+'23'!L34+'20'!L46</f>
        <v>35000</v>
      </c>
      <c r="M35" s="264">
        <f>M34+'23'!M34+'20'!M46</f>
        <v>15511420</v>
      </c>
      <c r="N35" s="217">
        <f>IF(J35=0,"",M35/J35*100)</f>
        <v>104.96000584636643</v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B44" s="45"/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B2:N2"/>
    <mergeCell ref="N4:N5"/>
    <mergeCell ref="H4:H5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6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665</v>
      </c>
      <c r="C2" s="877"/>
      <c r="D2" s="877"/>
      <c r="E2" s="877"/>
      <c r="F2" s="877"/>
      <c r="G2" s="877"/>
      <c r="H2" s="877"/>
      <c r="I2" s="877"/>
      <c r="J2" s="253"/>
      <c r="K2" s="254"/>
      <c r="L2" s="254"/>
      <c r="M2" s="254"/>
      <c r="N2" s="257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132</v>
      </c>
      <c r="C7" s="7" t="s">
        <v>80</v>
      </c>
      <c r="D7" s="7" t="s">
        <v>81</v>
      </c>
      <c r="E7" s="459" t="s">
        <v>731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SUM(I9:I11)</f>
        <v>264600</v>
      </c>
      <c r="J8" s="244">
        <f t="shared" si="0"/>
        <v>264600</v>
      </c>
      <c r="K8" s="532">
        <f>SUM(K9:K11)</f>
        <v>280730</v>
      </c>
      <c r="L8" s="244">
        <f>SUM(L9:L11)</f>
        <v>0</v>
      </c>
      <c r="M8" s="261">
        <f>SUM(M9:M11)</f>
        <v>280730</v>
      </c>
      <c r="N8" s="217">
        <f t="shared" ref="N8:N34" si="1">IF(J8=0,"",M8/J8*100)</f>
        <v>106.0959939531368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207660</v>
      </c>
      <c r="J9" s="245">
        <v>207660</v>
      </c>
      <c r="K9" s="391">
        <f>220020+1000+6*1300</f>
        <v>228820</v>
      </c>
      <c r="L9" s="245">
        <v>0</v>
      </c>
      <c r="M9" s="262">
        <f>SUM(K9:L9)</f>
        <v>228820</v>
      </c>
      <c r="N9" s="218">
        <f t="shared" si="1"/>
        <v>110.18973321775979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56940</v>
      </c>
      <c r="J10" s="245">
        <v>56940</v>
      </c>
      <c r="K10" s="391">
        <f>49220+800+1890</f>
        <v>51910</v>
      </c>
      <c r="L10" s="245">
        <v>0</v>
      </c>
      <c r="M10" s="262">
        <f t="shared" ref="M10:M11" si="2">SUM(K10:L10)</f>
        <v>51910</v>
      </c>
      <c r="N10" s="218">
        <f t="shared" si="1"/>
        <v>91.166139796276781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22110</v>
      </c>
      <c r="J13" s="244">
        <f t="shared" si="3"/>
        <v>22110</v>
      </c>
      <c r="K13" s="532">
        <f>K14</f>
        <v>24330</v>
      </c>
      <c r="L13" s="244">
        <f>L14</f>
        <v>0</v>
      </c>
      <c r="M13" s="261">
        <f>M14</f>
        <v>24330</v>
      </c>
      <c r="N13" s="217">
        <f t="shared" si="1"/>
        <v>110.04070556309362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22110</v>
      </c>
      <c r="J14" s="245">
        <v>22110</v>
      </c>
      <c r="K14" s="391">
        <f>22930+500+6*150</f>
        <v>24330</v>
      </c>
      <c r="L14" s="245">
        <v>0</v>
      </c>
      <c r="M14" s="262">
        <f>SUM(K14:L14)</f>
        <v>24330</v>
      </c>
      <c r="N14" s="218">
        <f t="shared" si="1"/>
        <v>110.04070556309362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4"/>
      <c r="J15" s="244"/>
      <c r="K15" s="532"/>
      <c r="L15" s="244"/>
      <c r="M15" s="264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35">
        <f t="shared" ref="I16:K16" si="4">SUM(I17:I26)</f>
        <v>49800</v>
      </c>
      <c r="J16" s="235">
        <f t="shared" ref="J16" si="5">SUM(J17:J26)</f>
        <v>49800</v>
      </c>
      <c r="K16" s="394">
        <f t="shared" si="4"/>
        <v>43000</v>
      </c>
      <c r="L16" s="244">
        <f>SUM(L17:L26)</f>
        <v>0</v>
      </c>
      <c r="M16" s="264">
        <f>SUM(M17:M26)</f>
        <v>43000</v>
      </c>
      <c r="N16" s="217">
        <f t="shared" si="1"/>
        <v>86.345381526104418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1500</v>
      </c>
      <c r="J17" s="245">
        <v>1500</v>
      </c>
      <c r="K17" s="391">
        <v>2000</v>
      </c>
      <c r="L17" s="245">
        <v>0</v>
      </c>
      <c r="M17" s="262">
        <f t="shared" ref="M17:M26" si="6">SUM(K17:L17)</f>
        <v>2000</v>
      </c>
      <c r="N17" s="218">
        <f t="shared" si="1"/>
        <v>133.33333333333331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0</v>
      </c>
      <c r="J18" s="245">
        <v>0</v>
      </c>
      <c r="K18" s="391">
        <v>0</v>
      </c>
      <c r="L18" s="245">
        <v>0</v>
      </c>
      <c r="M18" s="262">
        <f t="shared" si="6"/>
        <v>0</v>
      </c>
      <c r="N18" s="218" t="str">
        <f t="shared" si="1"/>
        <v/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3300</v>
      </c>
      <c r="J19" s="245">
        <v>3300</v>
      </c>
      <c r="K19" s="391">
        <v>3000</v>
      </c>
      <c r="L19" s="245">
        <v>0</v>
      </c>
      <c r="M19" s="262">
        <f t="shared" si="6"/>
        <v>3000</v>
      </c>
      <c r="N19" s="218">
        <f t="shared" si="1"/>
        <v>90.909090909090907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1500</v>
      </c>
      <c r="J20" s="245">
        <v>1500</v>
      </c>
      <c r="K20" s="391">
        <v>1500</v>
      </c>
      <c r="L20" s="245">
        <v>0</v>
      </c>
      <c r="M20" s="262">
        <f t="shared" si="6"/>
        <v>1500</v>
      </c>
      <c r="N20" s="218">
        <f t="shared" si="1"/>
        <v>100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0</v>
      </c>
      <c r="J21" s="245">
        <v>0</v>
      </c>
      <c r="K21" s="391">
        <v>0</v>
      </c>
      <c r="L21" s="245">
        <v>0</v>
      </c>
      <c r="M21" s="262">
        <f t="shared" si="6"/>
        <v>0</v>
      </c>
      <c r="N21" s="218" t="str">
        <f t="shared" si="1"/>
        <v/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6"/>
        <v>0</v>
      </c>
      <c r="N22" s="218" t="str">
        <f t="shared" si="1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1500</v>
      </c>
      <c r="J23" s="245">
        <v>1500</v>
      </c>
      <c r="K23" s="391">
        <v>1500</v>
      </c>
      <c r="L23" s="245">
        <v>0</v>
      </c>
      <c r="M23" s="262">
        <f t="shared" si="6"/>
        <v>1500</v>
      </c>
      <c r="N23" s="218">
        <f t="shared" si="1"/>
        <v>100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0</v>
      </c>
      <c r="J24" s="245">
        <v>0</v>
      </c>
      <c r="K24" s="391">
        <v>0</v>
      </c>
      <c r="L24" s="245">
        <v>0</v>
      </c>
      <c r="M24" s="262">
        <f t="shared" si="6"/>
        <v>0</v>
      </c>
      <c r="N24" s="218" t="str">
        <f t="shared" si="1"/>
        <v/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42000</v>
      </c>
      <c r="J25" s="245">
        <v>42000</v>
      </c>
      <c r="K25" s="391">
        <v>35000</v>
      </c>
      <c r="L25" s="245">
        <v>0</v>
      </c>
      <c r="M25" s="262">
        <f t="shared" si="6"/>
        <v>35000</v>
      </c>
      <c r="N25" s="218">
        <f t="shared" si="1"/>
        <v>83.333333333333343</v>
      </c>
      <c r="O25" s="58"/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6"/>
        <v>0</v>
      </c>
      <c r="N26" s="218" t="str">
        <f t="shared" si="1"/>
        <v/>
      </c>
    </row>
    <row r="27" spans="1:15" ht="12.95" customHeight="1">
      <c r="B27" s="10"/>
      <c r="C27" s="11"/>
      <c r="D27" s="11"/>
      <c r="E27" s="170"/>
      <c r="F27" s="184"/>
      <c r="G27" s="203"/>
      <c r="H27" s="24"/>
      <c r="I27" s="244"/>
      <c r="J27" s="244"/>
      <c r="K27" s="532"/>
      <c r="L27" s="244"/>
      <c r="M27" s="264"/>
      <c r="N27" s="218" t="str">
        <f t="shared" si="1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614000</v>
      </c>
      <c r="G28" s="202"/>
      <c r="H28" s="25" t="s">
        <v>171</v>
      </c>
      <c r="I28" s="244">
        <f t="shared" ref="I28:J28" si="7">SUM(I29:I29)</f>
        <v>1600000</v>
      </c>
      <c r="J28" s="244">
        <f t="shared" si="7"/>
        <v>1600000</v>
      </c>
      <c r="K28" s="552">
        <f>SUM(K29:K29)</f>
        <v>1600000</v>
      </c>
      <c r="L28" s="244">
        <f>SUM(L29:L29)</f>
        <v>0</v>
      </c>
      <c r="M28" s="264">
        <f>SUM(M29:M29)</f>
        <v>1600000</v>
      </c>
      <c r="N28" s="217">
        <f t="shared" si="1"/>
        <v>100</v>
      </c>
    </row>
    <row r="29" spans="1:15" s="168" customFormat="1" ht="12.95" customHeight="1">
      <c r="B29" s="169"/>
      <c r="C29" s="170"/>
      <c r="D29" s="170"/>
      <c r="E29" s="170"/>
      <c r="F29" s="184">
        <v>614200</v>
      </c>
      <c r="G29" s="203" t="s">
        <v>540</v>
      </c>
      <c r="H29" s="607" t="s">
        <v>889</v>
      </c>
      <c r="I29" s="245">
        <v>1600000</v>
      </c>
      <c r="J29" s="245">
        <v>1600000</v>
      </c>
      <c r="K29" s="391">
        <v>1600000</v>
      </c>
      <c r="L29" s="245">
        <v>0</v>
      </c>
      <c r="M29" s="262">
        <f>SUM(K29:L29)</f>
        <v>1600000</v>
      </c>
      <c r="N29" s="218">
        <f t="shared" si="1"/>
        <v>100</v>
      </c>
    </row>
    <row r="30" spans="1:15" ht="12.95" customHeight="1">
      <c r="B30" s="10"/>
      <c r="C30" s="11"/>
      <c r="D30" s="11"/>
      <c r="E30" s="170"/>
      <c r="F30" s="184"/>
      <c r="G30" s="203"/>
      <c r="H30" s="24"/>
      <c r="I30" s="245"/>
      <c r="J30" s="245"/>
      <c r="K30" s="391"/>
      <c r="L30" s="245"/>
      <c r="M30" s="263"/>
      <c r="N30" s="218" t="str">
        <f t="shared" si="1"/>
        <v/>
      </c>
    </row>
    <row r="31" spans="1:15" s="1" customFormat="1" ht="12.95" customHeight="1">
      <c r="A31" s="165"/>
      <c r="B31" s="12"/>
      <c r="C31" s="8"/>
      <c r="D31" s="8"/>
      <c r="E31" s="8"/>
      <c r="F31" s="183">
        <v>821000</v>
      </c>
      <c r="G31" s="202"/>
      <c r="H31" s="25" t="s">
        <v>89</v>
      </c>
      <c r="I31" s="244">
        <f t="shared" ref="I31:K31" si="8">SUM(I32:I33)</f>
        <v>3500</v>
      </c>
      <c r="J31" s="244">
        <f t="shared" ref="J31" si="9">SUM(J32:J33)</f>
        <v>3500</v>
      </c>
      <c r="K31" s="532">
        <f t="shared" si="8"/>
        <v>6200</v>
      </c>
      <c r="L31" s="244">
        <f>SUM(L32:L33)</f>
        <v>0</v>
      </c>
      <c r="M31" s="264">
        <f>SUM(M32:M33)</f>
        <v>6200</v>
      </c>
      <c r="N31" s="218">
        <f t="shared" si="1"/>
        <v>177.14285714285714</v>
      </c>
    </row>
    <row r="32" spans="1:15" ht="12.95" customHeight="1">
      <c r="B32" s="10"/>
      <c r="C32" s="11"/>
      <c r="D32" s="11"/>
      <c r="E32" s="170"/>
      <c r="F32" s="184">
        <v>821200</v>
      </c>
      <c r="G32" s="203"/>
      <c r="H32" s="24" t="s">
        <v>90</v>
      </c>
      <c r="I32" s="245">
        <v>0</v>
      </c>
      <c r="J32" s="245">
        <v>0</v>
      </c>
      <c r="K32" s="391">
        <v>0</v>
      </c>
      <c r="L32" s="245">
        <v>0</v>
      </c>
      <c r="M32" s="262">
        <f t="shared" ref="M32:M33" si="10">SUM(K32:L32)</f>
        <v>0</v>
      </c>
      <c r="N32" s="218" t="str">
        <f t="shared" si="1"/>
        <v/>
      </c>
    </row>
    <row r="33" spans="1:14" ht="12.95" customHeight="1">
      <c r="B33" s="10"/>
      <c r="C33" s="11"/>
      <c r="D33" s="11"/>
      <c r="E33" s="170"/>
      <c r="F33" s="184">
        <v>821300</v>
      </c>
      <c r="G33" s="203"/>
      <c r="H33" s="24" t="s">
        <v>91</v>
      </c>
      <c r="I33" s="245">
        <v>3500</v>
      </c>
      <c r="J33" s="245">
        <v>3500</v>
      </c>
      <c r="K33" s="391">
        <v>6200</v>
      </c>
      <c r="L33" s="245">
        <v>0</v>
      </c>
      <c r="M33" s="262">
        <f t="shared" si="10"/>
        <v>6200</v>
      </c>
      <c r="N33" s="218">
        <f t="shared" si="1"/>
        <v>177.14285714285714</v>
      </c>
    </row>
    <row r="34" spans="1:14" ht="12.95" customHeight="1">
      <c r="B34" s="10"/>
      <c r="C34" s="11"/>
      <c r="D34" s="11"/>
      <c r="E34" s="170"/>
      <c r="F34" s="184"/>
      <c r="G34" s="203"/>
      <c r="H34" s="24"/>
      <c r="I34" s="245"/>
      <c r="J34" s="245"/>
      <c r="K34" s="391"/>
      <c r="L34" s="245"/>
      <c r="M34" s="263"/>
      <c r="N34" s="218" t="str">
        <f t="shared" si="1"/>
        <v/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25" t="s">
        <v>92</v>
      </c>
      <c r="I35" s="434">
        <v>11</v>
      </c>
      <c r="J35" s="434">
        <v>11</v>
      </c>
      <c r="K35" s="548" t="s">
        <v>899</v>
      </c>
      <c r="L35" s="240"/>
      <c r="M35" s="266" t="s">
        <v>899</v>
      </c>
      <c r="N35" s="218"/>
    </row>
    <row r="36" spans="1:14" s="1" customFormat="1" ht="12.95" customHeight="1">
      <c r="A36" s="165"/>
      <c r="B36" s="12"/>
      <c r="C36" s="8"/>
      <c r="D36" s="8"/>
      <c r="E36" s="8"/>
      <c r="F36" s="183"/>
      <c r="G36" s="202"/>
      <c r="H36" s="8" t="s">
        <v>106</v>
      </c>
      <c r="I36" s="15">
        <f t="shared" ref="I36:M36" si="11">I8+I13+I16+I28+I31</f>
        <v>1940010</v>
      </c>
      <c r="J36" s="15">
        <f t="shared" si="11"/>
        <v>1940010</v>
      </c>
      <c r="K36" s="401">
        <f t="shared" si="11"/>
        <v>1954260</v>
      </c>
      <c r="L36" s="172">
        <f t="shared" si="11"/>
        <v>0</v>
      </c>
      <c r="M36" s="264">
        <f t="shared" si="11"/>
        <v>1954260</v>
      </c>
      <c r="N36" s="217">
        <f>IF(J36=0,"",M36/J36*100)</f>
        <v>100.73453229622528</v>
      </c>
    </row>
    <row r="37" spans="1:14" s="1" customFormat="1" ht="12.95" customHeight="1">
      <c r="A37" s="165"/>
      <c r="B37" s="12"/>
      <c r="C37" s="8"/>
      <c r="D37" s="8"/>
      <c r="E37" s="8"/>
      <c r="F37" s="183"/>
      <c r="G37" s="202"/>
      <c r="H37" s="8" t="s">
        <v>93</v>
      </c>
      <c r="I37" s="15">
        <f>I36</f>
        <v>1940010</v>
      </c>
      <c r="J37" s="15">
        <f>J36</f>
        <v>1940010</v>
      </c>
      <c r="K37" s="401">
        <f t="shared" ref="K37:M38" si="12">K36</f>
        <v>1954260</v>
      </c>
      <c r="L37" s="172">
        <f t="shared" si="12"/>
        <v>0</v>
      </c>
      <c r="M37" s="264">
        <f t="shared" si="12"/>
        <v>1954260</v>
      </c>
      <c r="N37" s="217">
        <f>IF(J37=0,"",M37/J37*100)</f>
        <v>100.73453229622528</v>
      </c>
    </row>
    <row r="38" spans="1:14" s="1" customFormat="1" ht="12.95" customHeight="1">
      <c r="A38" s="165"/>
      <c r="B38" s="12"/>
      <c r="C38" s="8"/>
      <c r="D38" s="8"/>
      <c r="E38" s="8"/>
      <c r="F38" s="183"/>
      <c r="G38" s="202"/>
      <c r="H38" s="8" t="s">
        <v>94</v>
      </c>
      <c r="I38" s="15">
        <f>I37</f>
        <v>1940010</v>
      </c>
      <c r="J38" s="15">
        <f>J37</f>
        <v>1940010</v>
      </c>
      <c r="K38" s="401">
        <f t="shared" si="12"/>
        <v>1954260</v>
      </c>
      <c r="L38" s="172">
        <f t="shared" si="12"/>
        <v>0</v>
      </c>
      <c r="M38" s="264">
        <f t="shared" si="12"/>
        <v>1954260</v>
      </c>
      <c r="N38" s="217">
        <f>IF(J38=0,"",M38/J38*100)</f>
        <v>100.73453229622528</v>
      </c>
    </row>
    <row r="39" spans="1:14" ht="12.95" customHeight="1" thickBot="1">
      <c r="B39" s="16"/>
      <c r="C39" s="17"/>
      <c r="D39" s="17"/>
      <c r="E39" s="17"/>
      <c r="F39" s="185"/>
      <c r="G39" s="204"/>
      <c r="H39" s="17"/>
      <c r="I39" s="31"/>
      <c r="J39" s="31"/>
      <c r="K39" s="402"/>
      <c r="L39" s="31"/>
      <c r="M39" s="267"/>
      <c r="N39" s="220"/>
    </row>
    <row r="40" spans="1:14" ht="12.95" customHeight="1">
      <c r="F40" s="186"/>
      <c r="G40" s="205"/>
      <c r="I40" s="53"/>
      <c r="J40" s="53"/>
      <c r="K40" s="53"/>
      <c r="L40" s="53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7"/>
  <dimension ref="A1:P96"/>
  <sheetViews>
    <sheetView topLeftCell="A13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680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133</v>
      </c>
      <c r="C7" s="7" t="s">
        <v>80</v>
      </c>
      <c r="D7" s="7" t="s">
        <v>81</v>
      </c>
      <c r="E7" s="459" t="s">
        <v>729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SUM(I9:I11)</f>
        <v>88070</v>
      </c>
      <c r="J8" s="244">
        <f t="shared" si="0"/>
        <v>88070</v>
      </c>
      <c r="K8" s="532">
        <f>SUM(K9:K11)</f>
        <v>109190</v>
      </c>
      <c r="L8" s="244">
        <f>SUM(L9:L11)</f>
        <v>0</v>
      </c>
      <c r="M8" s="261">
        <f>SUM(M9:M11)</f>
        <v>109190</v>
      </c>
      <c r="N8" s="217">
        <f t="shared" ref="N8:N31" si="1">IF(J8=0,"",M8/J8*100)</f>
        <v>123.98092426478937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76310</v>
      </c>
      <c r="J9" s="243">
        <v>76310</v>
      </c>
      <c r="K9" s="388">
        <f>78670+200+4830+6*2300</f>
        <v>97500</v>
      </c>
      <c r="L9" s="243">
        <v>0</v>
      </c>
      <c r="M9" s="262">
        <f>SUM(K9:L9)</f>
        <v>97500</v>
      </c>
      <c r="N9" s="218">
        <f t="shared" si="1"/>
        <v>127.76831345826236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3">
        <v>11760</v>
      </c>
      <c r="J10" s="243">
        <v>11760</v>
      </c>
      <c r="K10" s="388">
        <f>9990+400+1300</f>
        <v>11690</v>
      </c>
      <c r="L10" s="243">
        <v>0</v>
      </c>
      <c r="M10" s="262">
        <f t="shared" ref="M10:M11" si="2">SUM(K10:L10)</f>
        <v>11690</v>
      </c>
      <c r="N10" s="218">
        <f t="shared" si="1"/>
        <v>99.404761904761912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3"/>
      <c r="J12" s="243"/>
      <c r="K12" s="388"/>
      <c r="L12" s="243"/>
      <c r="M12" s="262"/>
      <c r="N12" s="218" t="str">
        <f t="shared" si="1"/>
        <v/>
      </c>
    </row>
    <row r="13" spans="1:16" ht="12.95" customHeight="1"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8220</v>
      </c>
      <c r="J13" s="244">
        <f t="shared" si="3"/>
        <v>8220</v>
      </c>
      <c r="K13" s="532">
        <f>K14</f>
        <v>9820</v>
      </c>
      <c r="L13" s="244">
        <f>L14</f>
        <v>0</v>
      </c>
      <c r="M13" s="261">
        <f>M14</f>
        <v>9820</v>
      </c>
      <c r="N13" s="217">
        <f t="shared" si="1"/>
        <v>119.4647201946472</v>
      </c>
    </row>
    <row r="14" spans="1:16" s="1" customFormat="1" ht="12.95" customHeight="1">
      <c r="A14" s="165"/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8220</v>
      </c>
      <c r="J14" s="243">
        <v>8220</v>
      </c>
      <c r="K14" s="388">
        <f>8270+50+6*250</f>
        <v>9820</v>
      </c>
      <c r="L14" s="243">
        <v>0</v>
      </c>
      <c r="M14" s="262">
        <f>SUM(K14:L14)</f>
        <v>9820</v>
      </c>
      <c r="N14" s="218">
        <f t="shared" si="1"/>
        <v>119.4647201946472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39"/>
      <c r="J15" s="239"/>
      <c r="K15" s="389"/>
      <c r="L15" s="239"/>
      <c r="M15" s="263"/>
      <c r="N15" s="218" t="str">
        <f t="shared" si="1"/>
        <v/>
      </c>
    </row>
    <row r="16" spans="1:16" ht="12.95" customHeight="1"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4">SUM(I17:I26)</f>
        <v>25200</v>
      </c>
      <c r="J16" s="242">
        <f t="shared" ref="J16" si="5">SUM(J17:J26)</f>
        <v>25200</v>
      </c>
      <c r="K16" s="533">
        <f>SUM(K17:K26)</f>
        <v>24200</v>
      </c>
      <c r="L16" s="242">
        <f>SUM(L17:L26)</f>
        <v>0</v>
      </c>
      <c r="M16" s="264">
        <f>SUM(M17:M26)</f>
        <v>24200</v>
      </c>
      <c r="N16" s="217">
        <f t="shared" si="1"/>
        <v>96.031746031746039</v>
      </c>
    </row>
    <row r="17" spans="1:14" s="1" customFormat="1" ht="12.95" customHeight="1">
      <c r="A17" s="165"/>
      <c r="B17" s="10"/>
      <c r="C17" s="11"/>
      <c r="D17" s="11"/>
      <c r="E17" s="170"/>
      <c r="F17" s="184">
        <v>613100</v>
      </c>
      <c r="G17" s="203"/>
      <c r="H17" s="24" t="s">
        <v>83</v>
      </c>
      <c r="I17" s="243">
        <v>400</v>
      </c>
      <c r="J17" s="243">
        <v>400</v>
      </c>
      <c r="K17" s="388">
        <v>400</v>
      </c>
      <c r="L17" s="243">
        <v>0</v>
      </c>
      <c r="M17" s="262">
        <f t="shared" ref="M17:M26" si="6">SUM(K17:L17)</f>
        <v>400</v>
      </c>
      <c r="N17" s="218">
        <f t="shared" si="1"/>
        <v>100</v>
      </c>
    </row>
    <row r="18" spans="1:14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3">
        <v>5500</v>
      </c>
      <c r="J18" s="243">
        <v>5500</v>
      </c>
      <c r="K18" s="388">
        <v>5500</v>
      </c>
      <c r="L18" s="243">
        <v>0</v>
      </c>
      <c r="M18" s="262">
        <f t="shared" si="6"/>
        <v>5500</v>
      </c>
      <c r="N18" s="218">
        <f t="shared" si="1"/>
        <v>100</v>
      </c>
    </row>
    <row r="19" spans="1:14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3">
        <v>3300</v>
      </c>
      <c r="J19" s="243">
        <v>3300</v>
      </c>
      <c r="K19" s="388">
        <v>3300</v>
      </c>
      <c r="L19" s="243">
        <v>0</v>
      </c>
      <c r="M19" s="262">
        <f t="shared" si="6"/>
        <v>3300</v>
      </c>
      <c r="N19" s="218">
        <f t="shared" si="1"/>
        <v>100</v>
      </c>
    </row>
    <row r="20" spans="1:14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3">
        <v>1000</v>
      </c>
      <c r="J20" s="243">
        <v>1000</v>
      </c>
      <c r="K20" s="388">
        <v>1000</v>
      </c>
      <c r="L20" s="243">
        <v>0</v>
      </c>
      <c r="M20" s="262">
        <f t="shared" si="6"/>
        <v>1000</v>
      </c>
      <c r="N20" s="218">
        <f t="shared" si="1"/>
        <v>100</v>
      </c>
    </row>
    <row r="21" spans="1:14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3">
        <v>0</v>
      </c>
      <c r="J21" s="243">
        <v>0</v>
      </c>
      <c r="K21" s="388">
        <v>0</v>
      </c>
      <c r="L21" s="243">
        <v>0</v>
      </c>
      <c r="M21" s="262">
        <f t="shared" si="6"/>
        <v>0</v>
      </c>
      <c r="N21" s="218" t="str">
        <f t="shared" si="1"/>
        <v/>
      </c>
    </row>
    <row r="22" spans="1:14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3">
        <v>0</v>
      </c>
      <c r="J22" s="243">
        <v>0</v>
      </c>
      <c r="K22" s="388">
        <v>0</v>
      </c>
      <c r="L22" s="243">
        <v>0</v>
      </c>
      <c r="M22" s="262">
        <f t="shared" si="6"/>
        <v>0</v>
      </c>
      <c r="N22" s="218" t="str">
        <f t="shared" si="1"/>
        <v/>
      </c>
    </row>
    <row r="23" spans="1:14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3">
        <v>1000</v>
      </c>
      <c r="J23" s="243">
        <v>1000</v>
      </c>
      <c r="K23" s="388">
        <v>1000</v>
      </c>
      <c r="L23" s="243">
        <v>0</v>
      </c>
      <c r="M23" s="262">
        <f t="shared" si="6"/>
        <v>1000</v>
      </c>
      <c r="N23" s="218">
        <f t="shared" si="1"/>
        <v>100</v>
      </c>
    </row>
    <row r="24" spans="1:14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3">
        <v>0</v>
      </c>
      <c r="J24" s="243">
        <v>0</v>
      </c>
      <c r="K24" s="388">
        <v>0</v>
      </c>
      <c r="L24" s="243">
        <v>0</v>
      </c>
      <c r="M24" s="262">
        <f t="shared" si="6"/>
        <v>0</v>
      </c>
      <c r="N24" s="218" t="str">
        <f t="shared" si="1"/>
        <v/>
      </c>
    </row>
    <row r="25" spans="1:14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3">
        <v>14000</v>
      </c>
      <c r="J25" s="243">
        <v>14000</v>
      </c>
      <c r="K25" s="388">
        <v>13000</v>
      </c>
      <c r="L25" s="243">
        <v>0</v>
      </c>
      <c r="M25" s="262">
        <f t="shared" si="6"/>
        <v>13000</v>
      </c>
      <c r="N25" s="218">
        <f t="shared" si="1"/>
        <v>92.857142857142861</v>
      </c>
    </row>
    <row r="26" spans="1:14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3">
        <v>0</v>
      </c>
      <c r="J26" s="243">
        <v>0</v>
      </c>
      <c r="K26" s="388">
        <v>0</v>
      </c>
      <c r="L26" s="243">
        <v>0</v>
      </c>
      <c r="M26" s="262">
        <f t="shared" si="6"/>
        <v>0</v>
      </c>
      <c r="N26" s="218" t="str">
        <f t="shared" si="1"/>
        <v/>
      </c>
    </row>
    <row r="27" spans="1:14" ht="12.95" customHeight="1">
      <c r="B27" s="12"/>
      <c r="C27" s="8"/>
      <c r="D27" s="8"/>
      <c r="E27" s="8"/>
      <c r="F27" s="183"/>
      <c r="G27" s="202"/>
      <c r="H27" s="25"/>
      <c r="I27" s="244"/>
      <c r="J27" s="244"/>
      <c r="K27" s="532"/>
      <c r="L27" s="244"/>
      <c r="M27" s="264"/>
      <c r="N27" s="218" t="str">
        <f t="shared" si="1"/>
        <v/>
      </c>
    </row>
    <row r="28" spans="1:14" ht="12.95" customHeight="1"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7">SUM(I29:I30)</f>
        <v>23000</v>
      </c>
      <c r="J28" s="244">
        <f t="shared" ref="J28" si="8">SUM(J29:J30)</f>
        <v>23000</v>
      </c>
      <c r="K28" s="532">
        <f>SUM(K29:K30)</f>
        <v>0</v>
      </c>
      <c r="L28" s="244">
        <f>SUM(L29:L30)</f>
        <v>0</v>
      </c>
      <c r="M28" s="264">
        <f>SUM(M29:M30)</f>
        <v>0</v>
      </c>
      <c r="N28" s="217">
        <f t="shared" si="1"/>
        <v>0</v>
      </c>
    </row>
    <row r="29" spans="1:14" s="1" customFormat="1" ht="12.95" customHeight="1">
      <c r="A29" s="165"/>
      <c r="B29" s="10"/>
      <c r="C29" s="11"/>
      <c r="D29" s="11"/>
      <c r="E29" s="170"/>
      <c r="F29" s="184">
        <v>821200</v>
      </c>
      <c r="G29" s="203"/>
      <c r="H29" s="24" t="s">
        <v>90</v>
      </c>
      <c r="I29" s="243">
        <v>23000</v>
      </c>
      <c r="J29" s="243">
        <v>23000</v>
      </c>
      <c r="K29" s="388">
        <v>0</v>
      </c>
      <c r="L29" s="243">
        <v>0</v>
      </c>
      <c r="M29" s="262">
        <f t="shared" ref="M29:M30" si="9">SUM(K29:L29)</f>
        <v>0</v>
      </c>
      <c r="N29" s="218">
        <f t="shared" si="1"/>
        <v>0</v>
      </c>
    </row>
    <row r="30" spans="1:14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3">
        <v>0</v>
      </c>
      <c r="J30" s="243">
        <v>0</v>
      </c>
      <c r="K30" s="388">
        <v>0</v>
      </c>
      <c r="L30" s="243">
        <v>0</v>
      </c>
      <c r="M30" s="262">
        <f t="shared" si="9"/>
        <v>0</v>
      </c>
      <c r="N30" s="218" t="str">
        <f t="shared" si="1"/>
        <v/>
      </c>
    </row>
    <row r="31" spans="1:14" ht="12.95" customHeight="1">
      <c r="B31" s="10"/>
      <c r="C31" s="11"/>
      <c r="D31" s="11"/>
      <c r="E31" s="170"/>
      <c r="F31" s="184"/>
      <c r="G31" s="203"/>
      <c r="H31" s="24"/>
      <c r="I31" s="243"/>
      <c r="J31" s="243"/>
      <c r="K31" s="388"/>
      <c r="L31" s="243"/>
      <c r="M31" s="263"/>
      <c r="N31" s="218" t="str">
        <f t="shared" si="1"/>
        <v/>
      </c>
    </row>
    <row r="32" spans="1:14" ht="12.95" customHeight="1">
      <c r="B32" s="12"/>
      <c r="C32" s="8"/>
      <c r="D32" s="8"/>
      <c r="E32" s="8"/>
      <c r="F32" s="183"/>
      <c r="G32" s="202"/>
      <c r="H32" s="25" t="s">
        <v>92</v>
      </c>
      <c r="I32" s="244">
        <v>3</v>
      </c>
      <c r="J32" s="244">
        <v>3</v>
      </c>
      <c r="K32" s="532">
        <v>4</v>
      </c>
      <c r="L32" s="244"/>
      <c r="M32" s="264">
        <v>4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144490</v>
      </c>
      <c r="J33" s="172">
        <f>J8+J13+J16+J28</f>
        <v>144490</v>
      </c>
      <c r="K33" s="401">
        <f>K8+K13+K16+K28</f>
        <v>143210</v>
      </c>
      <c r="L33" s="172">
        <f>L8+L13+L16+L28</f>
        <v>0</v>
      </c>
      <c r="M33" s="264">
        <f>M8+M13+M16+M28</f>
        <v>143210</v>
      </c>
      <c r="N33" s="217">
        <f>IF(J33=0,"",M33/J33*100)</f>
        <v>99.114125545020414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>
        <f>I33</f>
        <v>144490</v>
      </c>
      <c r="J34" s="15">
        <f>J33</f>
        <v>144490</v>
      </c>
      <c r="K34" s="401">
        <f t="shared" ref="K34:M35" si="10">K33</f>
        <v>143210</v>
      </c>
      <c r="L34" s="172">
        <f t="shared" si="10"/>
        <v>0</v>
      </c>
      <c r="M34" s="264">
        <f t="shared" si="10"/>
        <v>143210</v>
      </c>
      <c r="N34" s="217">
        <f>IF(J34=0,"",M34/J34*100)</f>
        <v>99.114125545020414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</f>
        <v>144490</v>
      </c>
      <c r="J35" s="15">
        <f>J34</f>
        <v>144490</v>
      </c>
      <c r="K35" s="401">
        <f t="shared" si="10"/>
        <v>143210</v>
      </c>
      <c r="L35" s="172">
        <f t="shared" si="10"/>
        <v>0</v>
      </c>
      <c r="M35" s="264">
        <f t="shared" si="10"/>
        <v>143210</v>
      </c>
      <c r="N35" s="217">
        <f>IF(J35=0,"",M35/J35*100)</f>
        <v>99.114125545020414</v>
      </c>
    </row>
    <row r="36" spans="1:14" s="1" customFormat="1" ht="12.95" customHeight="1" thickBot="1">
      <c r="A36" s="165"/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K37" s="439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B40" s="45"/>
      <c r="F40" s="186"/>
      <c r="G40" s="205"/>
      <c r="M40" s="268"/>
    </row>
    <row r="41" spans="1:14" ht="12.95" customHeight="1">
      <c r="B41" s="45"/>
      <c r="F41" s="186"/>
      <c r="G41" s="205"/>
      <c r="M41" s="268"/>
    </row>
    <row r="42" spans="1:14" ht="12.95" customHeight="1"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38"/>
  <dimension ref="A1:P97"/>
  <sheetViews>
    <sheetView topLeftCell="A7" workbookViewId="0">
      <selection activeCell="Q26" sqref="Q26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666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134</v>
      </c>
      <c r="C7" s="7" t="s">
        <v>80</v>
      </c>
      <c r="D7" s="7" t="s">
        <v>81</v>
      </c>
      <c r="E7" s="459" t="s">
        <v>742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SUM(I9:I12)</f>
        <v>312080</v>
      </c>
      <c r="J8" s="244">
        <f t="shared" ref="J8" si="1">SUM(J9:J12)</f>
        <v>312080</v>
      </c>
      <c r="K8" s="532">
        <f>SUM(K9:K12)</f>
        <v>557730</v>
      </c>
      <c r="L8" s="244">
        <f>SUM(L9:L12)</f>
        <v>0</v>
      </c>
      <c r="M8" s="261">
        <f>SUM(M9:M12)</f>
        <v>557730</v>
      </c>
      <c r="N8" s="217">
        <f t="shared" ref="N8:N36" si="2">IF(J8=0,"",M8/J8*100)</f>
        <v>178.71379133555499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247620</v>
      </c>
      <c r="J9" s="243">
        <v>247620</v>
      </c>
      <c r="K9" s="388">
        <f>228350+1000+5300+10*18*1060+10*2120</f>
        <v>446650</v>
      </c>
      <c r="L9" s="243">
        <v>0</v>
      </c>
      <c r="M9" s="262">
        <f>SUM(K9:L9)</f>
        <v>446650</v>
      </c>
      <c r="N9" s="218">
        <f t="shared" si="2"/>
        <v>180.37719085695824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3">
        <v>64460</v>
      </c>
      <c r="J10" s="243">
        <v>64460</v>
      </c>
      <c r="K10" s="388">
        <f>43780+800+19*500+19*3000</f>
        <v>111080</v>
      </c>
      <c r="L10" s="243">
        <v>0</v>
      </c>
      <c r="M10" s="262">
        <f t="shared" ref="M10:M11" si="3">SUM(K10:L10)</f>
        <v>111080</v>
      </c>
      <c r="N10" s="218">
        <f t="shared" si="2"/>
        <v>172.32392181197642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472"/>
      <c r="I12" s="243"/>
      <c r="J12" s="243"/>
      <c r="K12" s="388"/>
      <c r="L12" s="243"/>
      <c r="M12" s="262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26370</v>
      </c>
      <c r="J13" s="244">
        <f t="shared" si="4"/>
        <v>26370</v>
      </c>
      <c r="K13" s="532">
        <f>K14</f>
        <v>46960</v>
      </c>
      <c r="L13" s="244">
        <f>L14</f>
        <v>0</v>
      </c>
      <c r="M13" s="261">
        <f>M14</f>
        <v>46960</v>
      </c>
      <c r="N13" s="217">
        <f t="shared" si="2"/>
        <v>178.08115282518014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26370</v>
      </c>
      <c r="J14" s="243">
        <v>26370</v>
      </c>
      <c r="K14" s="388">
        <f>23980+400+580+10*18*110+10*220</f>
        <v>46960</v>
      </c>
      <c r="L14" s="243">
        <v>0</v>
      </c>
      <c r="M14" s="262">
        <f>SUM(K14:L14)</f>
        <v>46960</v>
      </c>
      <c r="N14" s="218">
        <f t="shared" si="2"/>
        <v>178.08115282518014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2"/>
      <c r="J15" s="242"/>
      <c r="K15" s="533"/>
      <c r="L15" s="242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49200</v>
      </c>
      <c r="J16" s="242">
        <f t="shared" ref="J16" si="6">SUM(J17:J26)</f>
        <v>49200</v>
      </c>
      <c r="K16" s="533">
        <f>SUM(K17:K26)</f>
        <v>59500</v>
      </c>
      <c r="L16" s="242">
        <f>SUM(L17:L26)</f>
        <v>70000</v>
      </c>
      <c r="M16" s="264">
        <f>SUM(M17:M26)</f>
        <v>129500</v>
      </c>
      <c r="N16" s="217">
        <f t="shared" si="2"/>
        <v>263.21138211382117</v>
      </c>
    </row>
    <row r="17" spans="1:16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3">
        <v>1500</v>
      </c>
      <c r="J17" s="243">
        <v>1500</v>
      </c>
      <c r="K17" s="389">
        <v>1500</v>
      </c>
      <c r="L17" s="239">
        <v>0</v>
      </c>
      <c r="M17" s="262">
        <f t="shared" ref="M17:M26" si="7">SUM(K17:L17)</f>
        <v>1500</v>
      </c>
      <c r="N17" s="218">
        <f t="shared" si="2"/>
        <v>100</v>
      </c>
    </row>
    <row r="18" spans="1:16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3">
        <v>12000</v>
      </c>
      <c r="J18" s="243">
        <v>12000</v>
      </c>
      <c r="K18" s="389">
        <v>20000</v>
      </c>
      <c r="L18" s="243">
        <v>0</v>
      </c>
      <c r="M18" s="262">
        <f t="shared" si="7"/>
        <v>20000</v>
      </c>
      <c r="N18" s="218">
        <f t="shared" si="2"/>
        <v>166.66666666666669</v>
      </c>
    </row>
    <row r="19" spans="1:16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3">
        <v>4000</v>
      </c>
      <c r="J19" s="243">
        <v>4000</v>
      </c>
      <c r="K19" s="388">
        <v>6000</v>
      </c>
      <c r="L19" s="243">
        <v>0</v>
      </c>
      <c r="M19" s="262">
        <f t="shared" si="7"/>
        <v>6000</v>
      </c>
      <c r="N19" s="218">
        <f t="shared" si="2"/>
        <v>150</v>
      </c>
    </row>
    <row r="20" spans="1:16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3">
        <v>1300</v>
      </c>
      <c r="J20" s="243">
        <v>1300</v>
      </c>
      <c r="K20" s="388">
        <v>1200</v>
      </c>
      <c r="L20" s="243">
        <v>40000</v>
      </c>
      <c r="M20" s="262">
        <f t="shared" si="7"/>
        <v>41200</v>
      </c>
      <c r="N20" s="218">
        <f t="shared" si="2"/>
        <v>3169.2307692307695</v>
      </c>
    </row>
    <row r="21" spans="1:16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3">
        <v>1000</v>
      </c>
      <c r="J21" s="243">
        <v>1000</v>
      </c>
      <c r="K21" s="388">
        <v>1000</v>
      </c>
      <c r="L21" s="243">
        <v>0</v>
      </c>
      <c r="M21" s="262">
        <f t="shared" si="7"/>
        <v>1000</v>
      </c>
      <c r="N21" s="218">
        <f t="shared" si="2"/>
        <v>100</v>
      </c>
    </row>
    <row r="22" spans="1:16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3">
        <v>0</v>
      </c>
      <c r="J22" s="243">
        <v>0</v>
      </c>
      <c r="K22" s="388">
        <v>0</v>
      </c>
      <c r="L22" s="243">
        <v>0</v>
      </c>
      <c r="M22" s="262">
        <f t="shared" si="7"/>
        <v>0</v>
      </c>
      <c r="N22" s="218" t="str">
        <f t="shared" si="2"/>
        <v/>
      </c>
    </row>
    <row r="23" spans="1:16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3">
        <v>4000</v>
      </c>
      <c r="J23" s="243">
        <v>4000</v>
      </c>
      <c r="K23" s="388">
        <v>4000</v>
      </c>
      <c r="L23" s="243">
        <v>16000</v>
      </c>
      <c r="M23" s="262">
        <f t="shared" si="7"/>
        <v>20000</v>
      </c>
      <c r="N23" s="218">
        <f t="shared" si="2"/>
        <v>500</v>
      </c>
    </row>
    <row r="24" spans="1:16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3">
        <v>400</v>
      </c>
      <c r="J24" s="243">
        <v>400</v>
      </c>
      <c r="K24" s="388">
        <v>800</v>
      </c>
      <c r="L24" s="243">
        <v>4000</v>
      </c>
      <c r="M24" s="262">
        <f t="shared" si="7"/>
        <v>4800</v>
      </c>
      <c r="N24" s="218">
        <f t="shared" si="2"/>
        <v>1200</v>
      </c>
    </row>
    <row r="25" spans="1:16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3">
        <v>25000</v>
      </c>
      <c r="J25" s="243">
        <v>25000</v>
      </c>
      <c r="K25" s="388">
        <v>25000</v>
      </c>
      <c r="L25" s="243">
        <v>10000</v>
      </c>
      <c r="M25" s="262">
        <f t="shared" si="7"/>
        <v>35000</v>
      </c>
      <c r="N25" s="218">
        <f t="shared" si="2"/>
        <v>140</v>
      </c>
      <c r="O25" s="45"/>
    </row>
    <row r="26" spans="1:16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3">
        <v>0</v>
      </c>
      <c r="J26" s="243">
        <v>0</v>
      </c>
      <c r="K26" s="388">
        <v>0</v>
      </c>
      <c r="L26" s="243">
        <v>0</v>
      </c>
      <c r="M26" s="262">
        <f t="shared" si="7"/>
        <v>0</v>
      </c>
      <c r="N26" s="218" t="str">
        <f t="shared" si="2"/>
        <v/>
      </c>
    </row>
    <row r="27" spans="1:16" ht="12.95" customHeight="1">
      <c r="B27" s="10"/>
      <c r="C27" s="11"/>
      <c r="D27" s="11"/>
      <c r="E27" s="170"/>
      <c r="F27" s="184"/>
      <c r="G27" s="203"/>
      <c r="H27" s="24"/>
      <c r="I27" s="244"/>
      <c r="J27" s="244"/>
      <c r="K27" s="532"/>
      <c r="L27" s="244"/>
      <c r="M27" s="264"/>
      <c r="N27" s="218" t="str">
        <f t="shared" si="2"/>
        <v/>
      </c>
    </row>
    <row r="28" spans="1:16" s="1" customFormat="1" ht="12.95" customHeight="1">
      <c r="A28" s="165"/>
      <c r="B28" s="12"/>
      <c r="C28" s="8"/>
      <c r="D28" s="8"/>
      <c r="E28" s="8"/>
      <c r="F28" s="183">
        <v>614000</v>
      </c>
      <c r="G28" s="202"/>
      <c r="H28" s="25" t="s">
        <v>171</v>
      </c>
      <c r="I28" s="244">
        <f t="shared" ref="I28:L28" si="8">I29+I30</f>
        <v>60000</v>
      </c>
      <c r="J28" s="244">
        <f t="shared" ref="J28" si="9">J29+J30</f>
        <v>60000</v>
      </c>
      <c r="K28" s="532">
        <f t="shared" si="8"/>
        <v>0</v>
      </c>
      <c r="L28" s="244">
        <f t="shared" si="8"/>
        <v>110000</v>
      </c>
      <c r="M28" s="264">
        <f t="shared" ref="M28" si="10">M29+M30</f>
        <v>110000</v>
      </c>
      <c r="N28" s="217">
        <f t="shared" si="2"/>
        <v>183.33333333333331</v>
      </c>
    </row>
    <row r="29" spans="1:16" ht="12.95" customHeight="1">
      <c r="B29" s="10"/>
      <c r="C29" s="11"/>
      <c r="D29" s="11"/>
      <c r="E29" s="170"/>
      <c r="F29" s="184">
        <v>614200</v>
      </c>
      <c r="G29" s="203" t="s">
        <v>541</v>
      </c>
      <c r="H29" s="472" t="s">
        <v>107</v>
      </c>
      <c r="I29" s="243">
        <v>60000</v>
      </c>
      <c r="J29" s="243">
        <v>60000</v>
      </c>
      <c r="K29" s="388">
        <v>0</v>
      </c>
      <c r="L29" s="243">
        <v>110000</v>
      </c>
      <c r="M29" s="262">
        <f t="shared" ref="M29:M30" si="11">SUM(K29:L29)</f>
        <v>110000</v>
      </c>
      <c r="N29" s="218">
        <f t="shared" si="2"/>
        <v>183.33333333333331</v>
      </c>
    </row>
    <row r="30" spans="1:16" s="60" customFormat="1" ht="12.75" customHeight="1">
      <c r="B30" s="608"/>
      <c r="C30" s="14"/>
      <c r="D30" s="14"/>
      <c r="E30" s="14"/>
      <c r="F30" s="187">
        <v>614300</v>
      </c>
      <c r="G30" s="206" t="s">
        <v>542</v>
      </c>
      <c r="H30" s="603" t="s">
        <v>617</v>
      </c>
      <c r="I30" s="243">
        <v>0</v>
      </c>
      <c r="J30" s="243">
        <v>0</v>
      </c>
      <c r="K30" s="388">
        <v>0</v>
      </c>
      <c r="L30" s="243">
        <v>0</v>
      </c>
      <c r="M30" s="262">
        <f t="shared" si="11"/>
        <v>0</v>
      </c>
      <c r="N30" s="218" t="str">
        <f t="shared" si="2"/>
        <v/>
      </c>
      <c r="P30" s="444"/>
    </row>
    <row r="31" spans="1:16" ht="12.95" customHeight="1">
      <c r="B31" s="10"/>
      <c r="C31" s="11"/>
      <c r="D31" s="11"/>
      <c r="E31" s="170"/>
      <c r="F31" s="183"/>
      <c r="G31" s="202"/>
      <c r="H31" s="25"/>
      <c r="I31" s="243"/>
      <c r="J31" s="243"/>
      <c r="K31" s="388"/>
      <c r="L31" s="243"/>
      <c r="M31" s="263"/>
      <c r="N31" s="218" t="str">
        <f t="shared" si="2"/>
        <v/>
      </c>
    </row>
    <row r="32" spans="1:16" ht="12.95" customHeight="1">
      <c r="B32" s="12"/>
      <c r="C32" s="8"/>
      <c r="D32" s="8"/>
      <c r="E32" s="8"/>
      <c r="F32" s="183">
        <v>821000</v>
      </c>
      <c r="G32" s="202"/>
      <c r="H32" s="25" t="s">
        <v>89</v>
      </c>
      <c r="I32" s="244">
        <f t="shared" ref="I32" si="12">SUM(I33:I36)</f>
        <v>5000</v>
      </c>
      <c r="J32" s="244">
        <f t="shared" ref="J32" si="13">SUM(J33:J36)</f>
        <v>5000</v>
      </c>
      <c r="K32" s="532">
        <f>SUM(K33:K36)</f>
        <v>0</v>
      </c>
      <c r="L32" s="244">
        <f>SUM(L33:L36)</f>
        <v>45000</v>
      </c>
      <c r="M32" s="264">
        <f>SUM(M33:M36)</f>
        <v>45000</v>
      </c>
      <c r="N32" s="217">
        <f t="shared" si="2"/>
        <v>900</v>
      </c>
    </row>
    <row r="33" spans="1:14" ht="12.95" customHeight="1">
      <c r="B33" s="10"/>
      <c r="C33" s="11"/>
      <c r="D33" s="11"/>
      <c r="E33" s="170"/>
      <c r="F33" s="184">
        <v>821200</v>
      </c>
      <c r="G33" s="203"/>
      <c r="H33" s="24" t="s">
        <v>90</v>
      </c>
      <c r="I33" s="245">
        <v>0</v>
      </c>
      <c r="J33" s="245">
        <v>0</v>
      </c>
      <c r="K33" s="391">
        <v>0</v>
      </c>
      <c r="L33" s="245">
        <v>0</v>
      </c>
      <c r="M33" s="262">
        <f t="shared" ref="M33:M34" si="14">SUM(K33:L33)</f>
        <v>0</v>
      </c>
      <c r="N33" s="218" t="str">
        <f t="shared" si="2"/>
        <v/>
      </c>
    </row>
    <row r="34" spans="1:14" s="1" customFormat="1" ht="12.95" customHeight="1">
      <c r="A34" s="165"/>
      <c r="B34" s="10"/>
      <c r="C34" s="11"/>
      <c r="D34" s="11"/>
      <c r="E34" s="170"/>
      <c r="F34" s="184">
        <v>821300</v>
      </c>
      <c r="G34" s="203"/>
      <c r="H34" s="473" t="s">
        <v>91</v>
      </c>
      <c r="I34" s="243">
        <v>5000</v>
      </c>
      <c r="J34" s="243">
        <v>5000</v>
      </c>
      <c r="K34" s="388">
        <v>0</v>
      </c>
      <c r="L34" s="243">
        <v>5000</v>
      </c>
      <c r="M34" s="262">
        <f t="shared" si="14"/>
        <v>5000</v>
      </c>
      <c r="N34" s="218">
        <f t="shared" si="2"/>
        <v>100</v>
      </c>
    </row>
    <row r="35" spans="1:14" s="165" customFormat="1" ht="12.95" customHeight="1">
      <c r="B35" s="169"/>
      <c r="C35" s="170"/>
      <c r="D35" s="170"/>
      <c r="E35" s="170"/>
      <c r="F35" s="184">
        <v>821300</v>
      </c>
      <c r="G35" s="203" t="s">
        <v>925</v>
      </c>
      <c r="H35" s="473" t="s">
        <v>902</v>
      </c>
      <c r="I35" s="243">
        <v>0</v>
      </c>
      <c r="J35" s="243">
        <v>0</v>
      </c>
      <c r="K35" s="388">
        <v>0</v>
      </c>
      <c r="L35" s="243">
        <v>40000</v>
      </c>
      <c r="M35" s="262">
        <f t="shared" ref="M35" si="15">SUM(K35:L35)</f>
        <v>40000</v>
      </c>
      <c r="N35" s="218" t="str">
        <f t="shared" ref="N35" si="16">IF(J35=0,"",M35/J35*100)</f>
        <v/>
      </c>
    </row>
    <row r="36" spans="1:14" ht="12.95" customHeight="1">
      <c r="B36" s="10"/>
      <c r="C36" s="11"/>
      <c r="D36" s="11"/>
      <c r="E36" s="170"/>
      <c r="F36" s="184"/>
      <c r="G36" s="203"/>
      <c r="H36" s="472"/>
      <c r="I36" s="243"/>
      <c r="J36" s="243"/>
      <c r="K36" s="388"/>
      <c r="L36" s="243"/>
      <c r="M36" s="263"/>
      <c r="N36" s="218" t="str">
        <f t="shared" si="2"/>
        <v/>
      </c>
    </row>
    <row r="37" spans="1:14" ht="12.95" customHeight="1">
      <c r="B37" s="12"/>
      <c r="C37" s="8"/>
      <c r="D37" s="8"/>
      <c r="E37" s="8"/>
      <c r="F37" s="183"/>
      <c r="G37" s="202"/>
      <c r="H37" s="25" t="s">
        <v>92</v>
      </c>
      <c r="I37" s="434" t="s">
        <v>808</v>
      </c>
      <c r="J37" s="434" t="s">
        <v>808</v>
      </c>
      <c r="K37" s="535">
        <v>31</v>
      </c>
      <c r="L37" s="240"/>
      <c r="M37" s="266">
        <v>31</v>
      </c>
      <c r="N37" s="218"/>
    </row>
    <row r="38" spans="1:14" ht="12.95" customHeight="1">
      <c r="B38" s="12"/>
      <c r="C38" s="8"/>
      <c r="D38" s="8"/>
      <c r="E38" s="8"/>
      <c r="F38" s="183"/>
      <c r="G38" s="202"/>
      <c r="H38" s="8" t="s">
        <v>106</v>
      </c>
      <c r="I38" s="398">
        <f>I8+I13+I16+I28+I32</f>
        <v>452650</v>
      </c>
      <c r="J38" s="172">
        <f>J8+J13+J16+J28+J32</f>
        <v>452650</v>
      </c>
      <c r="K38" s="401">
        <f>K8+K13+K16+K28+K32</f>
        <v>664190</v>
      </c>
      <c r="L38" s="172">
        <f>L8+L13+L16+L28+L32</f>
        <v>225000</v>
      </c>
      <c r="M38" s="264">
        <f>M8+M13+M16+M28+M32</f>
        <v>889190</v>
      </c>
      <c r="N38" s="217">
        <f>IF(J38=0,"",M38/J38*100)</f>
        <v>196.44095879818843</v>
      </c>
    </row>
    <row r="39" spans="1:14" s="1" customFormat="1" ht="12.95" customHeight="1">
      <c r="A39" s="165"/>
      <c r="B39" s="12"/>
      <c r="C39" s="8"/>
      <c r="D39" s="8"/>
      <c r="E39" s="8"/>
      <c r="F39" s="183"/>
      <c r="G39" s="202"/>
      <c r="H39" s="8" t="s">
        <v>93</v>
      </c>
      <c r="I39" s="398">
        <f>I38</f>
        <v>452650</v>
      </c>
      <c r="J39" s="172">
        <f>J38</f>
        <v>452650</v>
      </c>
      <c r="K39" s="401">
        <f t="shared" ref="K39:M40" si="17">K38</f>
        <v>664190</v>
      </c>
      <c r="L39" s="172">
        <f t="shared" si="17"/>
        <v>225000</v>
      </c>
      <c r="M39" s="264">
        <f t="shared" si="17"/>
        <v>889190</v>
      </c>
      <c r="N39" s="217">
        <f>IF(J39=0,"",M39/J39*100)</f>
        <v>196.44095879818843</v>
      </c>
    </row>
    <row r="40" spans="1:14" s="1" customFormat="1" ht="12.95" customHeight="1">
      <c r="A40" s="165"/>
      <c r="B40" s="12"/>
      <c r="C40" s="8"/>
      <c r="D40" s="8"/>
      <c r="E40" s="8"/>
      <c r="F40" s="183"/>
      <c r="G40" s="202"/>
      <c r="H40" s="8" t="s">
        <v>94</v>
      </c>
      <c r="I40" s="15">
        <f>I39</f>
        <v>452650</v>
      </c>
      <c r="J40" s="15">
        <f>J39</f>
        <v>452650</v>
      </c>
      <c r="K40" s="401">
        <f t="shared" si="17"/>
        <v>664190</v>
      </c>
      <c r="L40" s="172">
        <f t="shared" si="17"/>
        <v>225000</v>
      </c>
      <c r="M40" s="264">
        <f t="shared" si="17"/>
        <v>889190</v>
      </c>
      <c r="N40" s="217">
        <f>IF(J40=0,"",M40/J40*100)</f>
        <v>196.44095879818843</v>
      </c>
    </row>
    <row r="41" spans="1:14" s="1" customFormat="1" ht="12.95" customHeight="1" thickBot="1">
      <c r="A41" s="165"/>
      <c r="B41" s="16"/>
      <c r="C41" s="17"/>
      <c r="D41" s="17"/>
      <c r="E41" s="17"/>
      <c r="F41" s="185"/>
      <c r="G41" s="204"/>
      <c r="H41" s="17"/>
      <c r="I41" s="75"/>
      <c r="J41" s="75"/>
      <c r="K41" s="437"/>
      <c r="L41" s="75"/>
      <c r="M41" s="272"/>
      <c r="N41" s="222"/>
    </row>
    <row r="42" spans="1:14" s="1" customFormat="1" ht="12.95" customHeight="1">
      <c r="A42" s="165"/>
      <c r="B42" s="9"/>
      <c r="C42" s="9"/>
      <c r="D42" s="9"/>
      <c r="E42" s="168"/>
      <c r="F42" s="186"/>
      <c r="G42" s="205"/>
      <c r="H42" s="9"/>
      <c r="I42" s="49"/>
      <c r="J42" s="49"/>
      <c r="K42" s="49"/>
      <c r="L42" s="49"/>
      <c r="M42" s="273"/>
      <c r="N42" s="223"/>
    </row>
    <row r="43" spans="1:14" ht="12.95" customHeight="1">
      <c r="B43" s="45"/>
      <c r="F43" s="186"/>
      <c r="G43" s="205"/>
      <c r="M43" s="609"/>
    </row>
    <row r="44" spans="1:14" ht="12.95" customHeight="1">
      <c r="B44" s="45"/>
      <c r="F44" s="186"/>
      <c r="G44" s="205"/>
      <c r="M44" s="268"/>
    </row>
    <row r="45" spans="1:14" ht="12.95" customHeight="1">
      <c r="B45" s="45"/>
      <c r="F45" s="186"/>
      <c r="G45" s="205"/>
      <c r="M45" s="268"/>
    </row>
    <row r="46" spans="1:14" ht="12.95" customHeight="1">
      <c r="B46" s="45"/>
      <c r="F46" s="186"/>
      <c r="G46" s="205"/>
      <c r="M46" s="268"/>
    </row>
    <row r="47" spans="1:14" ht="12.95" customHeight="1">
      <c r="B47" s="45"/>
      <c r="F47" s="186"/>
      <c r="G47" s="205"/>
      <c r="M47" s="268"/>
    </row>
    <row r="48" spans="1:14" ht="12.95" customHeight="1">
      <c r="B48" s="45"/>
      <c r="F48" s="186"/>
      <c r="G48" s="205"/>
      <c r="M48" s="268"/>
    </row>
    <row r="49" spans="2:13" ht="12.95" customHeight="1">
      <c r="B49" s="45"/>
      <c r="F49" s="186"/>
      <c r="G49" s="205"/>
      <c r="M49" s="268"/>
    </row>
    <row r="50" spans="2:13" ht="12.95" customHeight="1">
      <c r="B50" s="45"/>
      <c r="F50" s="186"/>
      <c r="G50" s="205"/>
      <c r="M50" s="268"/>
    </row>
    <row r="51" spans="2:13" ht="12.95" customHeight="1">
      <c r="B51" s="45"/>
      <c r="F51" s="186"/>
      <c r="G51" s="205"/>
      <c r="M51" s="268"/>
    </row>
    <row r="52" spans="2:13" ht="12.95" customHeight="1">
      <c r="B52" s="45"/>
      <c r="F52" s="186"/>
      <c r="G52" s="205"/>
      <c r="M52" s="268"/>
    </row>
    <row r="53" spans="2:13" ht="12.95" customHeight="1">
      <c r="F53" s="186"/>
      <c r="G53" s="205"/>
      <c r="M53" s="268"/>
    </row>
    <row r="54" spans="2:13" ht="12.95" customHeight="1">
      <c r="F54" s="186"/>
      <c r="G54" s="205"/>
      <c r="M54" s="268"/>
    </row>
    <row r="55" spans="2:13" ht="12.95" customHeight="1">
      <c r="F55" s="186"/>
      <c r="G55" s="205"/>
      <c r="M55" s="268"/>
    </row>
    <row r="56" spans="2:13" ht="12.95" customHeight="1">
      <c r="F56" s="186"/>
      <c r="G56" s="205"/>
      <c r="M56" s="268"/>
    </row>
    <row r="57" spans="2:13" ht="12.95" customHeight="1">
      <c r="F57" s="186"/>
      <c r="G57" s="205"/>
      <c r="M57" s="268"/>
    </row>
    <row r="58" spans="2:13" ht="12.95" customHeight="1">
      <c r="F58" s="186"/>
      <c r="G58" s="205"/>
      <c r="M58" s="268"/>
    </row>
    <row r="59" spans="2:13" ht="12.95" customHeight="1">
      <c r="F59" s="186"/>
      <c r="G59" s="205"/>
      <c r="M59" s="268"/>
    </row>
    <row r="60" spans="2:13" ht="12.95" customHeight="1">
      <c r="F60" s="186"/>
      <c r="G60" s="205"/>
      <c r="M60" s="268"/>
    </row>
    <row r="61" spans="2:13" ht="17.100000000000001" customHeight="1">
      <c r="F61" s="186"/>
      <c r="G61" s="205"/>
      <c r="M61" s="268"/>
    </row>
    <row r="62" spans="2:13" ht="17.100000000000001" customHeight="1">
      <c r="F62" s="186"/>
      <c r="G62" s="205"/>
      <c r="M62" s="268"/>
    </row>
    <row r="63" spans="2:13" ht="14.25">
      <c r="F63" s="186"/>
      <c r="G63" s="205"/>
      <c r="M63" s="268"/>
    </row>
    <row r="64" spans="2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205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 ht="14.25">
      <c r="F91" s="186"/>
      <c r="G91" s="186"/>
      <c r="M91" s="268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  <row r="97" spans="7:7">
      <c r="G97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39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135</v>
      </c>
      <c r="C2" s="877"/>
      <c r="D2" s="877"/>
      <c r="E2" s="877"/>
      <c r="F2" s="877"/>
      <c r="G2" s="877"/>
      <c r="H2" s="877"/>
      <c r="I2" s="877"/>
      <c r="J2" s="253"/>
      <c r="K2" s="254"/>
      <c r="L2" s="254"/>
      <c r="M2" s="254"/>
      <c r="N2" s="257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136</v>
      </c>
      <c r="C7" s="7" t="s">
        <v>80</v>
      </c>
      <c r="D7" s="7" t="s">
        <v>81</v>
      </c>
      <c r="E7" s="459" t="s">
        <v>728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:J8" si="0">SUM(I9:I11)</f>
        <v>570700</v>
      </c>
      <c r="J8" s="244">
        <f t="shared" si="0"/>
        <v>570700</v>
      </c>
      <c r="K8" s="532">
        <f>SUM(K9:K11)</f>
        <v>598720</v>
      </c>
      <c r="L8" s="244">
        <f>SUM(L9:L11)</f>
        <v>0</v>
      </c>
      <c r="M8" s="261">
        <f>SUM(M9:M11)</f>
        <v>598720</v>
      </c>
      <c r="N8" s="217">
        <f t="shared" ref="N8:N31" si="1">IF(J8=0,"",M8/J8*100)</f>
        <v>104.90975994392851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505090</v>
      </c>
      <c r="J9" s="245">
        <v>505090</v>
      </c>
      <c r="K9" s="391">
        <f>501120+5000+900+8*2120</f>
        <v>523980</v>
      </c>
      <c r="L9" s="245">
        <v>0</v>
      </c>
      <c r="M9" s="262">
        <f>SUM(K9:L9)</f>
        <v>523980</v>
      </c>
      <c r="N9" s="218">
        <f t="shared" si="1"/>
        <v>103.73992753766656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65610</v>
      </c>
      <c r="J10" s="245">
        <v>65610</v>
      </c>
      <c r="K10" s="391">
        <f>68220+1000+3000+2520</f>
        <v>74740</v>
      </c>
      <c r="L10" s="245">
        <v>0</v>
      </c>
      <c r="M10" s="262">
        <f t="shared" ref="M10:M11" si="2">SUM(K10:L10)</f>
        <v>74740</v>
      </c>
      <c r="N10" s="218">
        <f t="shared" si="1"/>
        <v>113.91556165218717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2"/>
        <v>0</v>
      </c>
      <c r="N11" s="218" t="str">
        <f t="shared" si="1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1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3">I14</f>
        <v>53240</v>
      </c>
      <c r="J13" s="244">
        <f t="shared" si="3"/>
        <v>53240</v>
      </c>
      <c r="K13" s="532">
        <f>K14</f>
        <v>56060</v>
      </c>
      <c r="L13" s="244">
        <f>L14</f>
        <v>0</v>
      </c>
      <c r="M13" s="261">
        <f>M14</f>
        <v>56060</v>
      </c>
      <c r="N13" s="217">
        <f t="shared" si="1"/>
        <v>105.29676934635613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53240</v>
      </c>
      <c r="J14" s="245">
        <v>53240</v>
      </c>
      <c r="K14" s="391">
        <f>52620+1500+100+8*230</f>
        <v>56060</v>
      </c>
      <c r="L14" s="245">
        <v>0</v>
      </c>
      <c r="M14" s="262">
        <f>SUM(K14:L14)</f>
        <v>56060</v>
      </c>
      <c r="N14" s="218">
        <f t="shared" si="1"/>
        <v>105.29676934635613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1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4">
        <f t="shared" ref="I16" si="4">SUM(I17:I26)</f>
        <v>92800</v>
      </c>
      <c r="J16" s="244">
        <f t="shared" ref="J16" si="5">SUM(J17:J26)</f>
        <v>92800</v>
      </c>
      <c r="K16" s="533">
        <f>SUM(K17:K26)</f>
        <v>94500</v>
      </c>
      <c r="L16" s="242">
        <f>SUM(L17:L26)</f>
        <v>0</v>
      </c>
      <c r="M16" s="264">
        <f>SUM(M17:M26)</f>
        <v>94500</v>
      </c>
      <c r="N16" s="217">
        <f t="shared" si="1"/>
        <v>101.83189655172413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1700</v>
      </c>
      <c r="J17" s="245">
        <v>1700</v>
      </c>
      <c r="K17" s="390">
        <v>2500</v>
      </c>
      <c r="L17" s="241">
        <v>0</v>
      </c>
      <c r="M17" s="262">
        <f t="shared" ref="M17:M26" si="6">SUM(K17:L17)</f>
        <v>2500</v>
      </c>
      <c r="N17" s="218">
        <f t="shared" si="1"/>
        <v>147.05882352941177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24000</v>
      </c>
      <c r="J18" s="245">
        <v>24000</v>
      </c>
      <c r="K18" s="390">
        <v>24000</v>
      </c>
      <c r="L18" s="241">
        <v>0</v>
      </c>
      <c r="M18" s="262">
        <f t="shared" si="6"/>
        <v>24000</v>
      </c>
      <c r="N18" s="218">
        <f t="shared" si="1"/>
        <v>100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11000</v>
      </c>
      <c r="J19" s="245">
        <v>11000</v>
      </c>
      <c r="K19" s="390">
        <v>13000</v>
      </c>
      <c r="L19" s="241">
        <v>0</v>
      </c>
      <c r="M19" s="262">
        <f t="shared" si="6"/>
        <v>13000</v>
      </c>
      <c r="N19" s="218">
        <f t="shared" si="1"/>
        <v>118.18181818181819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6000</v>
      </c>
      <c r="J20" s="245">
        <v>6000</v>
      </c>
      <c r="K20" s="390">
        <v>8000</v>
      </c>
      <c r="L20" s="241">
        <v>0</v>
      </c>
      <c r="M20" s="262">
        <f t="shared" si="6"/>
        <v>8000</v>
      </c>
      <c r="N20" s="218">
        <f t="shared" si="1"/>
        <v>133.33333333333331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3500</v>
      </c>
      <c r="J21" s="245">
        <v>3500</v>
      </c>
      <c r="K21" s="391">
        <v>4000</v>
      </c>
      <c r="L21" s="245">
        <v>0</v>
      </c>
      <c r="M21" s="262">
        <f t="shared" si="6"/>
        <v>4000</v>
      </c>
      <c r="N21" s="218">
        <f t="shared" si="1"/>
        <v>114.28571428571428</v>
      </c>
      <c r="O21" s="45"/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6"/>
        <v>0</v>
      </c>
      <c r="N22" s="218" t="str">
        <f t="shared" si="1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13000</v>
      </c>
      <c r="J23" s="245">
        <v>13000</v>
      </c>
      <c r="K23" s="391">
        <v>9000</v>
      </c>
      <c r="L23" s="245">
        <v>0</v>
      </c>
      <c r="M23" s="262">
        <f t="shared" si="6"/>
        <v>9000</v>
      </c>
      <c r="N23" s="218">
        <f t="shared" si="1"/>
        <v>69.230769230769226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1600</v>
      </c>
      <c r="J24" s="245">
        <v>1600</v>
      </c>
      <c r="K24" s="391">
        <v>2000</v>
      </c>
      <c r="L24" s="245">
        <v>0</v>
      </c>
      <c r="M24" s="262">
        <f t="shared" si="6"/>
        <v>2000</v>
      </c>
      <c r="N24" s="218">
        <f t="shared" si="1"/>
        <v>125</v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32000</v>
      </c>
      <c r="J25" s="245">
        <v>32000</v>
      </c>
      <c r="K25" s="391">
        <v>32000</v>
      </c>
      <c r="L25" s="245">
        <v>0</v>
      </c>
      <c r="M25" s="262">
        <f t="shared" si="6"/>
        <v>32000</v>
      </c>
      <c r="N25" s="218">
        <f t="shared" si="1"/>
        <v>100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6"/>
        <v>0</v>
      </c>
      <c r="N26" s="218" t="str">
        <f t="shared" si="1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1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7">SUM(I29:I30)</f>
        <v>13000</v>
      </c>
      <c r="J28" s="244">
        <f t="shared" ref="J28" si="8">SUM(J29:J30)</f>
        <v>13000</v>
      </c>
      <c r="K28" s="532">
        <f>SUM(K29:K30)</f>
        <v>10000</v>
      </c>
      <c r="L28" s="244">
        <f>SUM(L29:L30)</f>
        <v>0</v>
      </c>
      <c r="M28" s="264">
        <f>SUM(M29:M30)</f>
        <v>10000</v>
      </c>
      <c r="N28" s="217">
        <f t="shared" si="1"/>
        <v>76.923076923076934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5000</v>
      </c>
      <c r="L29" s="245">
        <v>0</v>
      </c>
      <c r="M29" s="262">
        <f t="shared" ref="M29:M30" si="9">SUM(K29:L29)</f>
        <v>5000</v>
      </c>
      <c r="N29" s="218" t="str">
        <f t="shared" si="1"/>
        <v/>
      </c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13000</v>
      </c>
      <c r="J30" s="245">
        <v>13000</v>
      </c>
      <c r="K30" s="391">
        <v>5000</v>
      </c>
      <c r="L30" s="245">
        <v>0</v>
      </c>
      <c r="M30" s="262">
        <f t="shared" si="9"/>
        <v>5000</v>
      </c>
      <c r="N30" s="218">
        <f t="shared" si="1"/>
        <v>38.461538461538467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1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0">
        <v>16</v>
      </c>
      <c r="J32" s="240">
        <v>16</v>
      </c>
      <c r="K32" s="532">
        <v>17</v>
      </c>
      <c r="L32" s="240"/>
      <c r="M32" s="264">
        <v>17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729740</v>
      </c>
      <c r="J33" s="172">
        <f>J8+J13+J16+J28</f>
        <v>729740</v>
      </c>
      <c r="K33" s="401">
        <f>K8+K13+K16+K28</f>
        <v>759280</v>
      </c>
      <c r="L33" s="172">
        <f>L8+L13+L16+L28</f>
        <v>0</v>
      </c>
      <c r="M33" s="264">
        <f>M8+M13+M16+M28</f>
        <v>759280</v>
      </c>
      <c r="N33" s="217">
        <f>IF(J33=0,"",M33/J33*100)</f>
        <v>104.04801710198153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>
        <f>I33</f>
        <v>729740</v>
      </c>
      <c r="J34" s="172">
        <f>J33</f>
        <v>729740</v>
      </c>
      <c r="K34" s="401">
        <f t="shared" ref="K34:M35" si="10">K33</f>
        <v>759280</v>
      </c>
      <c r="L34" s="172">
        <f t="shared" si="10"/>
        <v>0</v>
      </c>
      <c r="M34" s="264">
        <f t="shared" si="10"/>
        <v>759280</v>
      </c>
      <c r="N34" s="217">
        <f>IF(J34=0,"",M34/J34*100)</f>
        <v>104.04801710198153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</f>
        <v>729740</v>
      </c>
      <c r="J35" s="15">
        <f>J34</f>
        <v>729740</v>
      </c>
      <c r="K35" s="401">
        <f t="shared" si="10"/>
        <v>759280</v>
      </c>
      <c r="L35" s="172">
        <f t="shared" si="10"/>
        <v>0</v>
      </c>
      <c r="M35" s="264">
        <f t="shared" si="10"/>
        <v>759280</v>
      </c>
      <c r="N35" s="217">
        <f>IF(J35=0,"",M35/J35*100)</f>
        <v>104.04801710198153</v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B41" s="45"/>
      <c r="F41" s="186"/>
      <c r="G41" s="205"/>
      <c r="M41" s="270"/>
    </row>
    <row r="42" spans="1:14" ht="12.95" customHeight="1">
      <c r="B42" s="45"/>
      <c r="F42" s="186"/>
      <c r="G42" s="205"/>
      <c r="M42" s="270"/>
    </row>
    <row r="43" spans="1:14" ht="12.95" customHeight="1">
      <c r="B43" s="45"/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0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252" customFormat="1" ht="20.100000000000001" customHeight="1" thickTop="1" thickBot="1">
      <c r="B2" s="876" t="s">
        <v>184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137</v>
      </c>
      <c r="C7" s="7" t="s">
        <v>80</v>
      </c>
      <c r="D7" s="7" t="s">
        <v>81</v>
      </c>
      <c r="E7" s="459" t="s">
        <v>728</v>
      </c>
      <c r="F7" s="5"/>
      <c r="G7" s="167"/>
      <c r="H7" s="5"/>
      <c r="I7" s="397"/>
      <c r="J7" s="167"/>
      <c r="K7" s="4"/>
      <c r="L7" s="167"/>
      <c r="M7" s="260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62410</v>
      </c>
      <c r="J8" s="244">
        <f t="shared" ref="J8" si="1">SUM(J9:J11)</f>
        <v>62410</v>
      </c>
      <c r="K8" s="532">
        <f>SUM(K9:K11)</f>
        <v>75660</v>
      </c>
      <c r="L8" s="244">
        <f>SUM(L9:L11)</f>
        <v>0</v>
      </c>
      <c r="M8" s="261">
        <f>SUM(M9:M11)</f>
        <v>75660</v>
      </c>
      <c r="N8" s="217">
        <f t="shared" ref="N8:N31" si="2">IF(J8=0,"",M8/J8*100)</f>
        <v>121.23057202371415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3">
        <v>53340</v>
      </c>
      <c r="J9" s="243">
        <v>53340</v>
      </c>
      <c r="K9" s="388">
        <f>53070+300+12000</f>
        <v>65370</v>
      </c>
      <c r="L9" s="243">
        <v>0</v>
      </c>
      <c r="M9" s="262">
        <f>SUM(K9:L9)</f>
        <v>65370</v>
      </c>
      <c r="N9" s="218">
        <f t="shared" si="2"/>
        <v>122.55343082114736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3">
        <v>9070</v>
      </c>
      <c r="J10" s="243">
        <v>9070</v>
      </c>
      <c r="K10" s="388">
        <f>6490+300+3500</f>
        <v>10290</v>
      </c>
      <c r="L10" s="243">
        <v>0</v>
      </c>
      <c r="M10" s="262">
        <f t="shared" ref="M10:M11" si="3">SUM(K10:L10)</f>
        <v>10290</v>
      </c>
      <c r="N10" s="218">
        <f t="shared" si="2"/>
        <v>113.45093715545755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3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5820</v>
      </c>
      <c r="J13" s="244">
        <f t="shared" si="4"/>
        <v>5820</v>
      </c>
      <c r="K13" s="532">
        <f>K14</f>
        <v>6960</v>
      </c>
      <c r="L13" s="244">
        <f>L14</f>
        <v>0</v>
      </c>
      <c r="M13" s="261">
        <f>M14</f>
        <v>6960</v>
      </c>
      <c r="N13" s="217">
        <f t="shared" si="2"/>
        <v>119.58762886597938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3">
        <v>5820</v>
      </c>
      <c r="J14" s="243">
        <v>5820</v>
      </c>
      <c r="K14" s="388">
        <f>5580+80+1300</f>
        <v>6960</v>
      </c>
      <c r="L14" s="243">
        <v>0</v>
      </c>
      <c r="M14" s="262">
        <f>SUM(K14:L14)</f>
        <v>6960</v>
      </c>
      <c r="N14" s="218">
        <f t="shared" si="2"/>
        <v>119.58762886597938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2"/>
      <c r="J15" s="242"/>
      <c r="K15" s="533"/>
      <c r="L15" s="242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23910</v>
      </c>
      <c r="J16" s="242">
        <f t="shared" ref="J16" si="6">SUM(J17:J26)</f>
        <v>23910</v>
      </c>
      <c r="K16" s="533">
        <f>SUM(K17:K26)</f>
        <v>15900</v>
      </c>
      <c r="L16" s="242">
        <f>SUM(L17:L26)</f>
        <v>0</v>
      </c>
      <c r="M16" s="264">
        <f>SUM(M17:M26)</f>
        <v>15900</v>
      </c>
      <c r="N16" s="217">
        <f t="shared" si="2"/>
        <v>66.499372647427862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3">
        <v>300</v>
      </c>
      <c r="J17" s="243">
        <v>300</v>
      </c>
      <c r="K17" s="389">
        <v>1000</v>
      </c>
      <c r="L17" s="239">
        <v>0</v>
      </c>
      <c r="M17" s="262">
        <f t="shared" ref="M17:M26" si="7">SUM(K17:L17)</f>
        <v>1000</v>
      </c>
      <c r="N17" s="218">
        <f t="shared" si="2"/>
        <v>333.33333333333337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3">
        <v>0</v>
      </c>
      <c r="J18" s="243">
        <v>0</v>
      </c>
      <c r="K18" s="389">
        <v>0</v>
      </c>
      <c r="L18" s="239">
        <v>0</v>
      </c>
      <c r="M18" s="262">
        <f t="shared" si="7"/>
        <v>0</v>
      </c>
      <c r="N18" s="218" t="str">
        <f t="shared" si="2"/>
        <v/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3">
        <v>3500</v>
      </c>
      <c r="J19" s="243">
        <v>3500</v>
      </c>
      <c r="K19" s="388">
        <v>3500</v>
      </c>
      <c r="L19" s="243">
        <v>0</v>
      </c>
      <c r="M19" s="262">
        <f t="shared" si="7"/>
        <v>3500</v>
      </c>
      <c r="N19" s="218">
        <f t="shared" si="2"/>
        <v>100</v>
      </c>
      <c r="O19" s="45"/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3">
        <v>600</v>
      </c>
      <c r="J20" s="243">
        <v>600</v>
      </c>
      <c r="K20" s="389">
        <v>900</v>
      </c>
      <c r="L20" s="239">
        <v>0</v>
      </c>
      <c r="M20" s="262">
        <f t="shared" si="7"/>
        <v>900</v>
      </c>
      <c r="N20" s="218">
        <f t="shared" si="2"/>
        <v>150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3">
        <v>0</v>
      </c>
      <c r="J21" s="243">
        <v>0</v>
      </c>
      <c r="K21" s="389">
        <v>0</v>
      </c>
      <c r="L21" s="239">
        <v>0</v>
      </c>
      <c r="M21" s="262">
        <f t="shared" si="7"/>
        <v>0</v>
      </c>
      <c r="N21" s="218" t="str">
        <f t="shared" si="2"/>
        <v/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3">
        <v>0</v>
      </c>
      <c r="J22" s="243">
        <v>0</v>
      </c>
      <c r="K22" s="389">
        <v>0</v>
      </c>
      <c r="L22" s="239">
        <v>0</v>
      </c>
      <c r="M22" s="262">
        <f t="shared" si="7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3">
        <v>500</v>
      </c>
      <c r="J23" s="243">
        <v>500</v>
      </c>
      <c r="K23" s="388">
        <v>500</v>
      </c>
      <c r="L23" s="243">
        <v>0</v>
      </c>
      <c r="M23" s="262">
        <f t="shared" si="7"/>
        <v>500</v>
      </c>
      <c r="N23" s="218">
        <f t="shared" si="2"/>
        <v>100</v>
      </c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3">
        <v>0</v>
      </c>
      <c r="J24" s="243">
        <v>0</v>
      </c>
      <c r="K24" s="388">
        <v>0</v>
      </c>
      <c r="L24" s="243">
        <v>0</v>
      </c>
      <c r="M24" s="262">
        <f t="shared" si="7"/>
        <v>0</v>
      </c>
      <c r="N24" s="218" t="str">
        <f t="shared" si="2"/>
        <v/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3">
        <v>19010</v>
      </c>
      <c r="J25" s="243">
        <v>19010</v>
      </c>
      <c r="K25" s="388">
        <v>10000</v>
      </c>
      <c r="L25" s="243">
        <v>0</v>
      </c>
      <c r="M25" s="262">
        <f t="shared" si="7"/>
        <v>10000</v>
      </c>
      <c r="N25" s="218">
        <f t="shared" si="2"/>
        <v>52.60389268805892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3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5" ht="12.95" customHeight="1">
      <c r="B27" s="10"/>
      <c r="C27" s="11"/>
      <c r="D27" s="11"/>
      <c r="E27" s="170"/>
      <c r="F27" s="184"/>
      <c r="G27" s="203"/>
      <c r="H27" s="24"/>
      <c r="I27" s="244"/>
      <c r="J27" s="244"/>
      <c r="K27" s="532"/>
      <c r="L27" s="244"/>
      <c r="M27" s="264"/>
      <c r="N27" s="218" t="str">
        <f t="shared" si="2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I29+I30</f>
        <v>1000</v>
      </c>
      <c r="J28" s="244">
        <f t="shared" ref="J28" si="9">J29+J30</f>
        <v>1000</v>
      </c>
      <c r="K28" s="532">
        <f>K29+K30</f>
        <v>1000</v>
      </c>
      <c r="L28" s="244">
        <f>L29+L30</f>
        <v>0</v>
      </c>
      <c r="M28" s="264">
        <f>M29+M30</f>
        <v>1000</v>
      </c>
      <c r="N28" s="217">
        <f t="shared" si="2"/>
        <v>100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3">
        <v>0</v>
      </c>
      <c r="J29" s="243">
        <v>0</v>
      </c>
      <c r="K29" s="388">
        <v>0</v>
      </c>
      <c r="L29" s="243">
        <v>0</v>
      </c>
      <c r="M29" s="262">
        <f t="shared" ref="M29:M30" si="10">SUM(K29:L29)</f>
        <v>0</v>
      </c>
      <c r="N29" s="218" t="str">
        <f t="shared" si="2"/>
        <v/>
      </c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3">
        <v>1000</v>
      </c>
      <c r="J30" s="243">
        <v>1000</v>
      </c>
      <c r="K30" s="388">
        <v>1000</v>
      </c>
      <c r="L30" s="243">
        <v>0</v>
      </c>
      <c r="M30" s="262">
        <f t="shared" si="10"/>
        <v>1000</v>
      </c>
      <c r="N30" s="218">
        <f t="shared" si="2"/>
        <v>100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0"/>
      <c r="J31" s="240"/>
      <c r="K31" s="534"/>
      <c r="L31" s="240"/>
      <c r="M31" s="264"/>
      <c r="N31" s="218" t="str">
        <f t="shared" si="2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0">
        <v>3</v>
      </c>
      <c r="J32" s="240">
        <v>3</v>
      </c>
      <c r="K32" s="532">
        <v>3</v>
      </c>
      <c r="L32" s="240"/>
      <c r="M32" s="264">
        <v>3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93140</v>
      </c>
      <c r="J33" s="172">
        <f>J8+J13+J16+J28</f>
        <v>93140</v>
      </c>
      <c r="K33" s="401">
        <f>K8+K13+K16+K28</f>
        <v>99520</v>
      </c>
      <c r="L33" s="172">
        <f>L8+L13+L16+L28</f>
        <v>0</v>
      </c>
      <c r="M33" s="264">
        <f>M8+M13+M16+M28</f>
        <v>99520</v>
      </c>
      <c r="N33" s="217">
        <f>IF(J33=0,"",M33/J33*100)</f>
        <v>106.84990337126905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>
        <f>I33</f>
        <v>93140</v>
      </c>
      <c r="J34" s="172">
        <f>J33</f>
        <v>93140</v>
      </c>
      <c r="K34" s="401">
        <f t="shared" ref="K34:M35" si="11">K33</f>
        <v>99520</v>
      </c>
      <c r="L34" s="172">
        <f t="shared" si="11"/>
        <v>0</v>
      </c>
      <c r="M34" s="264">
        <f t="shared" si="11"/>
        <v>99520</v>
      </c>
      <c r="N34" s="217">
        <f>IF(J34=0,"",M34/J34*100)</f>
        <v>106.84990337126905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</f>
        <v>93140</v>
      </c>
      <c r="J35" s="15">
        <f>J34</f>
        <v>93140</v>
      </c>
      <c r="K35" s="401">
        <f t="shared" si="11"/>
        <v>99520</v>
      </c>
      <c r="L35" s="172">
        <f t="shared" si="11"/>
        <v>0</v>
      </c>
      <c r="M35" s="264">
        <f t="shared" si="11"/>
        <v>99520</v>
      </c>
      <c r="N35" s="217">
        <f>IF(J35=0,"",M35/J35*100)</f>
        <v>106.84990337126905</v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17"/>
      <c r="J36" s="17"/>
      <c r="K36" s="16"/>
      <c r="L36" s="17"/>
      <c r="M36" s="271"/>
      <c r="N36" s="220"/>
    </row>
    <row r="37" spans="1:14" ht="12.95" customHeight="1">
      <c r="F37" s="186"/>
      <c r="G37" s="205"/>
      <c r="M37" s="268"/>
    </row>
    <row r="38" spans="1:14" ht="12.95" customHeight="1">
      <c r="B38" s="45"/>
      <c r="F38" s="186"/>
      <c r="G38" s="205"/>
      <c r="M38" s="268"/>
    </row>
    <row r="39" spans="1:14" ht="12.95" customHeight="1">
      <c r="B39" s="45"/>
      <c r="F39" s="186"/>
      <c r="G39" s="205"/>
      <c r="M39" s="268"/>
    </row>
    <row r="40" spans="1:14" ht="12.95" customHeight="1">
      <c r="F40" s="186"/>
      <c r="G40" s="205"/>
      <c r="M40" s="268"/>
    </row>
    <row r="41" spans="1:14" ht="12.95" customHeight="1">
      <c r="F41" s="186"/>
      <c r="G41" s="205"/>
      <c r="M41" s="268"/>
    </row>
    <row r="42" spans="1:14" ht="12.95" customHeight="1">
      <c r="F42" s="186"/>
      <c r="G42" s="205"/>
      <c r="M42" s="268"/>
    </row>
    <row r="43" spans="1:14" ht="12.95" customHeight="1">
      <c r="F43" s="186"/>
      <c r="G43" s="205"/>
      <c r="M43" s="268"/>
    </row>
    <row r="44" spans="1:14" ht="12.95" customHeight="1">
      <c r="F44" s="186"/>
      <c r="G44" s="205"/>
      <c r="M44" s="268"/>
    </row>
    <row r="45" spans="1:14" ht="12.95" customHeight="1">
      <c r="F45" s="186"/>
      <c r="G45" s="205"/>
      <c r="M45" s="268"/>
    </row>
    <row r="46" spans="1:14" ht="12.95" customHeight="1">
      <c r="F46" s="186"/>
      <c r="G46" s="205"/>
      <c r="M46" s="268"/>
    </row>
    <row r="47" spans="1:14" ht="12.95" customHeight="1">
      <c r="F47" s="186"/>
      <c r="G47" s="205"/>
      <c r="M47" s="268"/>
    </row>
    <row r="48" spans="1:14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7.100000000000001" customHeight="1">
      <c r="F60" s="186"/>
      <c r="G60" s="205"/>
      <c r="M60" s="268"/>
    </row>
    <row r="61" spans="6:13" ht="14.25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1"/>
  <dimension ref="A1:P96"/>
  <sheetViews>
    <sheetView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681</v>
      </c>
      <c r="C2" s="877"/>
      <c r="D2" s="877"/>
      <c r="E2" s="877"/>
      <c r="F2" s="877"/>
      <c r="G2" s="877"/>
      <c r="H2" s="877"/>
      <c r="I2" s="877"/>
      <c r="J2" s="253"/>
      <c r="K2" s="254"/>
      <c r="L2" s="254"/>
      <c r="M2" s="254"/>
      <c r="N2" s="257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138</v>
      </c>
      <c r="C7" s="7" t="s">
        <v>80</v>
      </c>
      <c r="D7" s="7" t="s">
        <v>81</v>
      </c>
      <c r="E7" s="459" t="s">
        <v>728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458760</v>
      </c>
      <c r="J8" s="244">
        <f t="shared" ref="J8" si="1">SUM(J9:J11)</f>
        <v>458760</v>
      </c>
      <c r="K8" s="532">
        <f>SUM(K9:K11)</f>
        <v>404366</v>
      </c>
      <c r="L8" s="244">
        <f>SUM(L9:L11)</f>
        <v>24014</v>
      </c>
      <c r="M8" s="261">
        <f>SUM(M9:M11)</f>
        <v>428380</v>
      </c>
      <c r="N8" s="217">
        <f t="shared" ref="N8:N31" si="2">IF(J8=0,"",M8/J8*100)</f>
        <v>93.377801028860404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385300</v>
      </c>
      <c r="J9" s="245">
        <v>385300</v>
      </c>
      <c r="K9" s="391">
        <f>274580+2000+8+920+12*6000</f>
        <v>349508</v>
      </c>
      <c r="L9" s="245">
        <v>16842</v>
      </c>
      <c r="M9" s="262">
        <f>SUM(K9:L9)</f>
        <v>366350</v>
      </c>
      <c r="N9" s="218">
        <f t="shared" si="2"/>
        <v>95.081754477030884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73460</v>
      </c>
      <c r="J10" s="245">
        <v>73460</v>
      </c>
      <c r="K10" s="391">
        <f>48850+1000+8+1500+3500</f>
        <v>54858</v>
      </c>
      <c r="L10" s="245">
        <v>7172</v>
      </c>
      <c r="M10" s="262">
        <f t="shared" ref="M10:M11" si="3">SUM(K10:L10)</f>
        <v>62030</v>
      </c>
      <c r="N10" s="218">
        <f t="shared" si="2"/>
        <v>84.440511843179962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3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  <c r="P12" s="45"/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38930</v>
      </c>
      <c r="J13" s="244">
        <f t="shared" si="4"/>
        <v>38930</v>
      </c>
      <c r="K13" s="532">
        <f>K14</f>
        <v>37537</v>
      </c>
      <c r="L13" s="244">
        <f>L14</f>
        <v>2273</v>
      </c>
      <c r="M13" s="261">
        <f>M14</f>
        <v>39810</v>
      </c>
      <c r="N13" s="217">
        <f t="shared" si="2"/>
        <v>102.2604675057796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38930</v>
      </c>
      <c r="J14" s="245">
        <v>38930</v>
      </c>
      <c r="K14" s="391">
        <f>28830+800+7+100+12*650</f>
        <v>37537</v>
      </c>
      <c r="L14" s="245">
        <v>2273</v>
      </c>
      <c r="M14" s="262">
        <f>SUM(K14:L14)</f>
        <v>39810</v>
      </c>
      <c r="N14" s="218">
        <f t="shared" si="2"/>
        <v>102.2604675057796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0"/>
      <c r="J15" s="240"/>
      <c r="K15" s="534"/>
      <c r="L15" s="240"/>
      <c r="M15" s="264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70000</v>
      </c>
      <c r="J16" s="242">
        <f t="shared" ref="J16" si="6">SUM(J17:J26)</f>
        <v>70000</v>
      </c>
      <c r="K16" s="533">
        <f>SUM(K17:K26)</f>
        <v>67517</v>
      </c>
      <c r="L16" s="242">
        <f>SUM(L17:L26)</f>
        <v>3993</v>
      </c>
      <c r="M16" s="264">
        <f>SUM(M17:M26)</f>
        <v>71510</v>
      </c>
      <c r="N16" s="217">
        <f t="shared" si="2"/>
        <v>102.15714285714286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1690</v>
      </c>
      <c r="J17" s="245">
        <v>1690</v>
      </c>
      <c r="K17" s="390">
        <v>1509</v>
      </c>
      <c r="L17" s="241">
        <v>391</v>
      </c>
      <c r="M17" s="262">
        <f t="shared" ref="M17:M26" si="7">SUM(K17:L17)</f>
        <v>1900</v>
      </c>
      <c r="N17" s="218">
        <f t="shared" si="2"/>
        <v>112.42603550295857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4200</v>
      </c>
      <c r="J18" s="245">
        <v>4200</v>
      </c>
      <c r="K18" s="390">
        <v>4500</v>
      </c>
      <c r="L18" s="241">
        <v>0</v>
      </c>
      <c r="M18" s="262">
        <f t="shared" si="7"/>
        <v>4500</v>
      </c>
      <c r="N18" s="218">
        <f t="shared" si="2"/>
        <v>107.14285714285714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8000</v>
      </c>
      <c r="J19" s="245">
        <v>8000</v>
      </c>
      <c r="K19" s="391">
        <v>8000</v>
      </c>
      <c r="L19" s="245">
        <v>0</v>
      </c>
      <c r="M19" s="262">
        <f t="shared" si="7"/>
        <v>8000</v>
      </c>
      <c r="N19" s="218">
        <f t="shared" si="2"/>
        <v>100</v>
      </c>
      <c r="O19" s="45"/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9000</v>
      </c>
      <c r="J20" s="245">
        <v>9000</v>
      </c>
      <c r="K20" s="390">
        <v>9000</v>
      </c>
      <c r="L20" s="241">
        <v>0</v>
      </c>
      <c r="M20" s="262">
        <f t="shared" si="7"/>
        <v>9000</v>
      </c>
      <c r="N20" s="218">
        <f t="shared" si="2"/>
        <v>100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1000</v>
      </c>
      <c r="J21" s="245">
        <v>1000</v>
      </c>
      <c r="K21" s="391">
        <v>2000</v>
      </c>
      <c r="L21" s="245">
        <v>0</v>
      </c>
      <c r="M21" s="262">
        <f t="shared" si="7"/>
        <v>2000</v>
      </c>
      <c r="N21" s="218">
        <f t="shared" si="2"/>
        <v>200</v>
      </c>
      <c r="O21" s="45"/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0">
        <v>0</v>
      </c>
      <c r="L22" s="241">
        <v>0</v>
      </c>
      <c r="M22" s="262">
        <f t="shared" si="7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1800</v>
      </c>
      <c r="J23" s="245">
        <v>1800</v>
      </c>
      <c r="K23" s="391">
        <v>2000</v>
      </c>
      <c r="L23" s="245">
        <v>0</v>
      </c>
      <c r="M23" s="262">
        <f t="shared" si="7"/>
        <v>2000</v>
      </c>
      <c r="N23" s="218">
        <f t="shared" si="2"/>
        <v>111.11111111111111</v>
      </c>
      <c r="O23" s="45"/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800</v>
      </c>
      <c r="J24" s="245">
        <v>800</v>
      </c>
      <c r="K24" s="391">
        <v>500</v>
      </c>
      <c r="L24" s="245">
        <v>0</v>
      </c>
      <c r="M24" s="262">
        <f t="shared" si="7"/>
        <v>500</v>
      </c>
      <c r="N24" s="218">
        <f t="shared" si="2"/>
        <v>62.5</v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43510</v>
      </c>
      <c r="J25" s="245">
        <v>43510</v>
      </c>
      <c r="K25" s="391">
        <v>40008</v>
      </c>
      <c r="L25" s="245">
        <v>3602</v>
      </c>
      <c r="M25" s="262">
        <f t="shared" si="7"/>
        <v>43610</v>
      </c>
      <c r="N25" s="218">
        <f t="shared" si="2"/>
        <v>100.22983222247758</v>
      </c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3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>SUM(I29:I30)</f>
        <v>3000</v>
      </c>
      <c r="J28" s="244">
        <f>SUM(J29:J30)</f>
        <v>3000</v>
      </c>
      <c r="K28" s="532">
        <f>K29+K30</f>
        <v>10000</v>
      </c>
      <c r="L28" s="244">
        <f>L29+L30</f>
        <v>0</v>
      </c>
      <c r="M28" s="264">
        <f>M29+M30</f>
        <v>10000</v>
      </c>
      <c r="N28" s="217">
        <f t="shared" si="2"/>
        <v>333.33333333333337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ref="M29:M30" si="8">SUM(K29:L29)</f>
        <v>0</v>
      </c>
      <c r="N29" s="218" t="str">
        <f t="shared" si="2"/>
        <v/>
      </c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3000</v>
      </c>
      <c r="J30" s="245">
        <v>3000</v>
      </c>
      <c r="K30" s="391">
        <v>10000</v>
      </c>
      <c r="L30" s="245">
        <v>0</v>
      </c>
      <c r="M30" s="262">
        <f t="shared" si="8"/>
        <v>10000</v>
      </c>
      <c r="N30" s="218">
        <f t="shared" si="2"/>
        <v>333.33333333333337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1"/>
      <c r="J31" s="241"/>
      <c r="K31" s="390"/>
      <c r="L31" s="241"/>
      <c r="M31" s="263"/>
      <c r="N31" s="218" t="str">
        <f t="shared" si="2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4">
        <v>10</v>
      </c>
      <c r="J32" s="244">
        <v>10</v>
      </c>
      <c r="K32" s="532">
        <v>11</v>
      </c>
      <c r="L32" s="244">
        <v>1</v>
      </c>
      <c r="M32" s="264">
        <v>12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570690</v>
      </c>
      <c r="J33" s="172">
        <f>J8+J13+J16+J28</f>
        <v>570690</v>
      </c>
      <c r="K33" s="401">
        <f>K8+K13+K16+K28</f>
        <v>519420</v>
      </c>
      <c r="L33" s="172">
        <f>L8+L13+L16+L28</f>
        <v>30280</v>
      </c>
      <c r="M33" s="264">
        <f>M8+M13+M16+M28</f>
        <v>549700</v>
      </c>
      <c r="N33" s="217">
        <f>IF(J33=0,"",M33/J33*100)</f>
        <v>96.321996180062726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398">
        <f>I33</f>
        <v>570690</v>
      </c>
      <c r="J34" s="172">
        <f>J33</f>
        <v>570690</v>
      </c>
      <c r="K34" s="401">
        <f t="shared" ref="K34:M35" si="9">K33</f>
        <v>519420</v>
      </c>
      <c r="L34" s="172">
        <f t="shared" si="9"/>
        <v>30280</v>
      </c>
      <c r="M34" s="264">
        <f t="shared" si="9"/>
        <v>549700</v>
      </c>
      <c r="N34" s="217">
        <f>IF(J34=0,"",M34/J34*100)</f>
        <v>96.321996180062726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</f>
        <v>570690</v>
      </c>
      <c r="J35" s="15">
        <f>J34</f>
        <v>570690</v>
      </c>
      <c r="K35" s="401">
        <f t="shared" si="9"/>
        <v>519420</v>
      </c>
      <c r="L35" s="172">
        <f t="shared" si="9"/>
        <v>30280</v>
      </c>
      <c r="M35" s="264">
        <f t="shared" si="9"/>
        <v>549700</v>
      </c>
      <c r="N35" s="217">
        <f>IF(J35=0,"",M35/J35*100)</f>
        <v>96.321996180062726</v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B39" s="45"/>
      <c r="F39" s="186"/>
      <c r="G39" s="205"/>
      <c r="M39" s="270"/>
    </row>
    <row r="40" spans="1:14" ht="12.95" customHeight="1">
      <c r="B40" s="45"/>
      <c r="F40" s="186"/>
      <c r="G40" s="205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4"/>
  <dimension ref="A1:P96"/>
  <sheetViews>
    <sheetView topLeftCell="A10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2" width="14.7109375" style="51" customWidth="1"/>
    <col min="13" max="13" width="15.7109375" style="51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150</v>
      </c>
      <c r="C2" s="877"/>
      <c r="D2" s="877"/>
      <c r="E2" s="877"/>
      <c r="F2" s="877"/>
      <c r="G2" s="877"/>
      <c r="H2" s="877"/>
      <c r="I2" s="877"/>
      <c r="J2" s="253"/>
      <c r="K2" s="254"/>
      <c r="L2" s="254"/>
      <c r="M2" s="254"/>
      <c r="N2" s="257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5" t="s">
        <v>796</v>
      </c>
      <c r="K4" s="902" t="s">
        <v>852</v>
      </c>
      <c r="L4" s="881"/>
      <c r="M4" s="882"/>
      <c r="N4" s="894" t="s">
        <v>754</v>
      </c>
      <c r="P4" s="61"/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40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149</v>
      </c>
      <c r="C7" s="7" t="s">
        <v>80</v>
      </c>
      <c r="D7" s="7" t="s">
        <v>81</v>
      </c>
      <c r="E7" s="459" t="s">
        <v>729</v>
      </c>
      <c r="F7" s="5"/>
      <c r="G7" s="167"/>
      <c r="H7" s="5"/>
      <c r="I7" s="409"/>
      <c r="J7" s="73"/>
      <c r="K7" s="430"/>
      <c r="L7" s="73"/>
      <c r="M7" s="269"/>
      <c r="N7" s="216"/>
    </row>
    <row r="8" spans="1:16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25" t="s">
        <v>141</v>
      </c>
      <c r="I8" s="244">
        <f t="shared" ref="I8" si="0">SUM(I9:I11)</f>
        <v>446610</v>
      </c>
      <c r="J8" s="244">
        <f t="shared" ref="J8" si="1">SUM(J9:J11)</f>
        <v>446610</v>
      </c>
      <c r="K8" s="532">
        <f>SUM(K9:K11)</f>
        <v>457100</v>
      </c>
      <c r="L8" s="244">
        <f>SUM(L9:L11)</f>
        <v>0</v>
      </c>
      <c r="M8" s="261">
        <f>SUM(M9:M11)</f>
        <v>457100</v>
      </c>
      <c r="N8" s="217">
        <f t="shared" ref="N8:N31" si="2">IF(J8=0,"",M8/J8*100)</f>
        <v>102.34880544546697</v>
      </c>
    </row>
    <row r="9" spans="1:16" ht="12.95" customHeight="1">
      <c r="B9" s="10"/>
      <c r="C9" s="11"/>
      <c r="D9" s="11"/>
      <c r="E9" s="170"/>
      <c r="F9" s="184">
        <v>611100</v>
      </c>
      <c r="G9" s="203"/>
      <c r="H9" s="472" t="s">
        <v>167</v>
      </c>
      <c r="I9" s="245">
        <v>382320</v>
      </c>
      <c r="J9" s="245">
        <v>382320</v>
      </c>
      <c r="K9" s="391">
        <f>394040+1500+790+880</f>
        <v>397210</v>
      </c>
      <c r="L9" s="245">
        <v>0</v>
      </c>
      <c r="M9" s="262">
        <f>SUM(K9:L9)</f>
        <v>397210</v>
      </c>
      <c r="N9" s="218">
        <f t="shared" si="2"/>
        <v>103.89464323080142</v>
      </c>
    </row>
    <row r="10" spans="1:16" ht="12.95" customHeight="1">
      <c r="B10" s="10"/>
      <c r="C10" s="11"/>
      <c r="D10" s="11"/>
      <c r="E10" s="170"/>
      <c r="F10" s="184">
        <v>611200</v>
      </c>
      <c r="G10" s="203"/>
      <c r="H10" s="24" t="s">
        <v>168</v>
      </c>
      <c r="I10" s="245">
        <v>64290</v>
      </c>
      <c r="J10" s="245">
        <v>64290</v>
      </c>
      <c r="K10" s="391">
        <f>57140+1000+1750</f>
        <v>59890</v>
      </c>
      <c r="L10" s="245">
        <v>0</v>
      </c>
      <c r="M10" s="262">
        <f t="shared" ref="M10:M11" si="3">SUM(K10:L10)</f>
        <v>59890</v>
      </c>
      <c r="N10" s="218">
        <f t="shared" si="2"/>
        <v>93.15601182143412</v>
      </c>
    </row>
    <row r="11" spans="1:16" ht="12.95" customHeight="1">
      <c r="B11" s="10"/>
      <c r="C11" s="11"/>
      <c r="D11" s="11"/>
      <c r="E11" s="170"/>
      <c r="F11" s="184">
        <v>611200</v>
      </c>
      <c r="G11" s="203"/>
      <c r="H11" s="479" t="s">
        <v>446</v>
      </c>
      <c r="I11" s="243">
        <v>0</v>
      </c>
      <c r="J11" s="243">
        <v>0</v>
      </c>
      <c r="K11" s="388">
        <v>0</v>
      </c>
      <c r="L11" s="243">
        <v>0</v>
      </c>
      <c r="M11" s="262">
        <f t="shared" si="3"/>
        <v>0</v>
      </c>
      <c r="N11" s="218" t="str">
        <f t="shared" si="2"/>
        <v/>
      </c>
      <c r="P11" s="50"/>
    </row>
    <row r="12" spans="1:16" ht="12.95" customHeight="1">
      <c r="B12" s="10"/>
      <c r="C12" s="11"/>
      <c r="D12" s="11"/>
      <c r="E12" s="170"/>
      <c r="F12" s="184"/>
      <c r="G12" s="203"/>
      <c r="H12" s="24"/>
      <c r="I12" s="244"/>
      <c r="J12" s="244"/>
      <c r="K12" s="532"/>
      <c r="L12" s="244"/>
      <c r="M12" s="261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25" t="s">
        <v>140</v>
      </c>
      <c r="I13" s="244">
        <f t="shared" ref="I13:J13" si="4">I14</f>
        <v>40820</v>
      </c>
      <c r="J13" s="244">
        <f t="shared" si="4"/>
        <v>40820</v>
      </c>
      <c r="K13" s="532">
        <f>K14</f>
        <v>42360</v>
      </c>
      <c r="L13" s="244">
        <f>L14</f>
        <v>0</v>
      </c>
      <c r="M13" s="261">
        <f>M14</f>
        <v>42360</v>
      </c>
      <c r="N13" s="217">
        <f t="shared" si="2"/>
        <v>103.77266046055855</v>
      </c>
    </row>
    <row r="14" spans="1:16" ht="12.95" customHeight="1">
      <c r="B14" s="10"/>
      <c r="C14" s="11"/>
      <c r="D14" s="11"/>
      <c r="E14" s="170"/>
      <c r="F14" s="184">
        <v>612100</v>
      </c>
      <c r="G14" s="203"/>
      <c r="H14" s="474" t="s">
        <v>82</v>
      </c>
      <c r="I14" s="245">
        <v>40820</v>
      </c>
      <c r="J14" s="245">
        <v>40820</v>
      </c>
      <c r="K14" s="391">
        <f>41380+800+90+90</f>
        <v>42360</v>
      </c>
      <c r="L14" s="245">
        <v>0</v>
      </c>
      <c r="M14" s="262">
        <f>SUM(K14:L14)</f>
        <v>42360</v>
      </c>
      <c r="N14" s="218">
        <f t="shared" si="2"/>
        <v>103.77266046055855</v>
      </c>
    </row>
    <row r="15" spans="1:16" ht="12.95" customHeight="1">
      <c r="B15" s="10"/>
      <c r="C15" s="11"/>
      <c r="D15" s="11"/>
      <c r="E15" s="170"/>
      <c r="F15" s="184"/>
      <c r="G15" s="203"/>
      <c r="H15" s="24"/>
      <c r="I15" s="241"/>
      <c r="J15" s="241"/>
      <c r="K15" s="390"/>
      <c r="L15" s="241"/>
      <c r="M15" s="263"/>
      <c r="N15" s="218" t="str">
        <f t="shared" si="2"/>
        <v/>
      </c>
    </row>
    <row r="16" spans="1:16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25" t="s">
        <v>142</v>
      </c>
      <c r="I16" s="242">
        <f t="shared" ref="I16" si="5">SUM(I17:I26)</f>
        <v>28350</v>
      </c>
      <c r="J16" s="242">
        <f t="shared" ref="J16" si="6">SUM(J17:J26)</f>
        <v>28350</v>
      </c>
      <c r="K16" s="533">
        <f>SUM(K17:K26)</f>
        <v>31100</v>
      </c>
      <c r="L16" s="242">
        <f>SUM(L17:L26)</f>
        <v>0</v>
      </c>
      <c r="M16" s="264">
        <f>SUM(M17:M26)</f>
        <v>31100</v>
      </c>
      <c r="N16" s="217">
        <f t="shared" si="2"/>
        <v>109.70017636684304</v>
      </c>
    </row>
    <row r="17" spans="1:15" ht="12.95" customHeight="1">
      <c r="B17" s="10"/>
      <c r="C17" s="11"/>
      <c r="D17" s="11"/>
      <c r="E17" s="170"/>
      <c r="F17" s="184">
        <v>613100</v>
      </c>
      <c r="G17" s="203"/>
      <c r="H17" s="24" t="s">
        <v>83</v>
      </c>
      <c r="I17" s="245">
        <v>850</v>
      </c>
      <c r="J17" s="245">
        <v>850</v>
      </c>
      <c r="K17" s="390">
        <v>1300</v>
      </c>
      <c r="L17" s="241">
        <v>0</v>
      </c>
      <c r="M17" s="262">
        <f t="shared" ref="M17:M26" si="7">SUM(K17:L17)</f>
        <v>1300</v>
      </c>
      <c r="N17" s="218">
        <f t="shared" si="2"/>
        <v>152.94117647058823</v>
      </c>
    </row>
    <row r="18" spans="1:15" ht="12.95" customHeight="1">
      <c r="B18" s="10"/>
      <c r="C18" s="11"/>
      <c r="D18" s="11"/>
      <c r="E18" s="170"/>
      <c r="F18" s="184">
        <v>613200</v>
      </c>
      <c r="G18" s="203"/>
      <c r="H18" s="24" t="s">
        <v>84</v>
      </c>
      <c r="I18" s="245">
        <v>6500</v>
      </c>
      <c r="J18" s="245">
        <v>6500</v>
      </c>
      <c r="K18" s="390">
        <v>6000</v>
      </c>
      <c r="L18" s="241">
        <v>0</v>
      </c>
      <c r="M18" s="262">
        <f t="shared" si="7"/>
        <v>6000</v>
      </c>
      <c r="N18" s="218">
        <f t="shared" si="2"/>
        <v>92.307692307692307</v>
      </c>
    </row>
    <row r="19" spans="1:15" ht="12.95" customHeight="1">
      <c r="B19" s="10"/>
      <c r="C19" s="11"/>
      <c r="D19" s="11"/>
      <c r="E19" s="170"/>
      <c r="F19" s="184">
        <v>613300</v>
      </c>
      <c r="G19" s="203"/>
      <c r="H19" s="472" t="s">
        <v>169</v>
      </c>
      <c r="I19" s="245">
        <v>7600</v>
      </c>
      <c r="J19" s="245">
        <v>7600</v>
      </c>
      <c r="K19" s="390">
        <v>8500</v>
      </c>
      <c r="L19" s="241">
        <v>0</v>
      </c>
      <c r="M19" s="262">
        <f t="shared" si="7"/>
        <v>8500</v>
      </c>
      <c r="N19" s="218">
        <f t="shared" si="2"/>
        <v>111.8421052631579</v>
      </c>
    </row>
    <row r="20" spans="1:15" ht="12.95" customHeight="1">
      <c r="B20" s="10"/>
      <c r="C20" s="11"/>
      <c r="D20" s="11"/>
      <c r="E20" s="170"/>
      <c r="F20" s="184">
        <v>613400</v>
      </c>
      <c r="G20" s="203"/>
      <c r="H20" s="24" t="s">
        <v>143</v>
      </c>
      <c r="I20" s="245">
        <v>400</v>
      </c>
      <c r="J20" s="245">
        <v>400</v>
      </c>
      <c r="K20" s="390">
        <v>1000</v>
      </c>
      <c r="L20" s="241">
        <v>0</v>
      </c>
      <c r="M20" s="262">
        <f t="shared" si="7"/>
        <v>1000</v>
      </c>
      <c r="N20" s="218">
        <f t="shared" si="2"/>
        <v>250</v>
      </c>
    </row>
    <row r="21" spans="1:15" ht="12.95" customHeight="1">
      <c r="B21" s="10"/>
      <c r="C21" s="11"/>
      <c r="D21" s="11"/>
      <c r="E21" s="170"/>
      <c r="F21" s="184">
        <v>613500</v>
      </c>
      <c r="G21" s="203"/>
      <c r="H21" s="24" t="s">
        <v>85</v>
      </c>
      <c r="I21" s="245">
        <v>4500</v>
      </c>
      <c r="J21" s="245">
        <v>4500</v>
      </c>
      <c r="K21" s="390">
        <v>5500</v>
      </c>
      <c r="L21" s="241">
        <v>0</v>
      </c>
      <c r="M21" s="262">
        <f t="shared" si="7"/>
        <v>5500</v>
      </c>
      <c r="N21" s="218">
        <f t="shared" si="2"/>
        <v>122.22222222222223</v>
      </c>
    </row>
    <row r="22" spans="1:15" ht="12.95" customHeight="1">
      <c r="B22" s="10"/>
      <c r="C22" s="11"/>
      <c r="D22" s="11"/>
      <c r="E22" s="170"/>
      <c r="F22" s="184">
        <v>613600</v>
      </c>
      <c r="G22" s="203"/>
      <c r="H22" s="472" t="s">
        <v>170</v>
      </c>
      <c r="I22" s="245">
        <v>0</v>
      </c>
      <c r="J22" s="245">
        <v>0</v>
      </c>
      <c r="K22" s="391">
        <v>0</v>
      </c>
      <c r="L22" s="245">
        <v>0</v>
      </c>
      <c r="M22" s="262">
        <f t="shared" si="7"/>
        <v>0</v>
      </c>
      <c r="N22" s="218" t="str">
        <f t="shared" si="2"/>
        <v/>
      </c>
    </row>
    <row r="23" spans="1:15" ht="12.95" customHeight="1">
      <c r="B23" s="10"/>
      <c r="C23" s="11"/>
      <c r="D23" s="11"/>
      <c r="E23" s="170"/>
      <c r="F23" s="184">
        <v>613700</v>
      </c>
      <c r="G23" s="203"/>
      <c r="H23" s="24" t="s">
        <v>86</v>
      </c>
      <c r="I23" s="245">
        <v>4000</v>
      </c>
      <c r="J23" s="245">
        <v>4000</v>
      </c>
      <c r="K23" s="391">
        <v>4000</v>
      </c>
      <c r="L23" s="245">
        <v>0</v>
      </c>
      <c r="M23" s="262">
        <f t="shared" si="7"/>
        <v>4000</v>
      </c>
      <c r="N23" s="218">
        <f t="shared" si="2"/>
        <v>100</v>
      </c>
      <c r="O23" s="45"/>
    </row>
    <row r="24" spans="1:15" ht="12.95" customHeight="1">
      <c r="B24" s="10"/>
      <c r="C24" s="11"/>
      <c r="D24" s="11"/>
      <c r="E24" s="170"/>
      <c r="F24" s="184">
        <v>613800</v>
      </c>
      <c r="G24" s="203"/>
      <c r="H24" s="24" t="s">
        <v>144</v>
      </c>
      <c r="I24" s="245">
        <v>1500</v>
      </c>
      <c r="J24" s="245">
        <v>1500</v>
      </c>
      <c r="K24" s="391">
        <v>1800</v>
      </c>
      <c r="L24" s="245">
        <v>0</v>
      </c>
      <c r="M24" s="262">
        <f t="shared" si="7"/>
        <v>1800</v>
      </c>
      <c r="N24" s="218">
        <f t="shared" si="2"/>
        <v>120</v>
      </c>
    </row>
    <row r="25" spans="1:15" ht="12.95" customHeight="1">
      <c r="B25" s="10"/>
      <c r="C25" s="11"/>
      <c r="D25" s="11"/>
      <c r="E25" s="170"/>
      <c r="F25" s="184">
        <v>613900</v>
      </c>
      <c r="G25" s="203"/>
      <c r="H25" s="24" t="s">
        <v>145</v>
      </c>
      <c r="I25" s="245">
        <v>3000</v>
      </c>
      <c r="J25" s="245">
        <v>3000</v>
      </c>
      <c r="K25" s="391">
        <v>3000</v>
      </c>
      <c r="L25" s="245">
        <v>0</v>
      </c>
      <c r="M25" s="262">
        <f t="shared" si="7"/>
        <v>3000</v>
      </c>
      <c r="N25" s="218">
        <f t="shared" si="2"/>
        <v>100</v>
      </c>
      <c r="O25" s="45"/>
    </row>
    <row r="26" spans="1:15" ht="12.95" customHeight="1">
      <c r="B26" s="10"/>
      <c r="C26" s="11"/>
      <c r="D26" s="11"/>
      <c r="E26" s="170"/>
      <c r="F26" s="184">
        <v>613900</v>
      </c>
      <c r="G26" s="203"/>
      <c r="H26" s="479" t="s">
        <v>447</v>
      </c>
      <c r="I26" s="245">
        <v>0</v>
      </c>
      <c r="J26" s="245">
        <v>0</v>
      </c>
      <c r="K26" s="391">
        <v>0</v>
      </c>
      <c r="L26" s="245">
        <v>0</v>
      </c>
      <c r="M26" s="262">
        <f t="shared" si="7"/>
        <v>0</v>
      </c>
      <c r="N26" s="218" t="str">
        <f t="shared" si="2"/>
        <v/>
      </c>
    </row>
    <row r="27" spans="1:15" s="1" customFormat="1" ht="12.95" customHeight="1">
      <c r="A27" s="165"/>
      <c r="B27" s="12"/>
      <c r="C27" s="8"/>
      <c r="D27" s="8"/>
      <c r="E27" s="8"/>
      <c r="F27" s="183"/>
      <c r="G27" s="202"/>
      <c r="H27" s="25"/>
      <c r="I27" s="245"/>
      <c r="J27" s="245"/>
      <c r="K27" s="391"/>
      <c r="L27" s="245"/>
      <c r="M27" s="263"/>
      <c r="N27" s="218" t="str">
        <f t="shared" si="2"/>
        <v/>
      </c>
    </row>
    <row r="28" spans="1:15" s="1" customFormat="1" ht="12.95" customHeight="1">
      <c r="A28" s="165"/>
      <c r="B28" s="12"/>
      <c r="C28" s="8"/>
      <c r="D28" s="8"/>
      <c r="E28" s="8"/>
      <c r="F28" s="183">
        <v>821000</v>
      </c>
      <c r="G28" s="202"/>
      <c r="H28" s="25" t="s">
        <v>89</v>
      </c>
      <c r="I28" s="244">
        <f t="shared" ref="I28" si="8">SUM(I29:I30)</f>
        <v>6000</v>
      </c>
      <c r="J28" s="244">
        <f t="shared" ref="J28" si="9">SUM(J29:J30)</f>
        <v>6000</v>
      </c>
      <c r="K28" s="532">
        <f>SUM(K29:K30)</f>
        <v>35000</v>
      </c>
      <c r="L28" s="244">
        <f>SUM(L29:L30)</f>
        <v>0</v>
      </c>
      <c r="M28" s="264">
        <f>SUM(M29:M30)</f>
        <v>35000</v>
      </c>
      <c r="N28" s="217">
        <f t="shared" si="2"/>
        <v>583.33333333333326</v>
      </c>
    </row>
    <row r="29" spans="1:15" ht="12.95" customHeight="1">
      <c r="B29" s="10"/>
      <c r="C29" s="11"/>
      <c r="D29" s="11"/>
      <c r="E29" s="170"/>
      <c r="F29" s="184">
        <v>821200</v>
      </c>
      <c r="G29" s="203"/>
      <c r="H29" s="24" t="s">
        <v>90</v>
      </c>
      <c r="I29" s="245">
        <v>0</v>
      </c>
      <c r="J29" s="245">
        <v>0</v>
      </c>
      <c r="K29" s="391">
        <v>0</v>
      </c>
      <c r="L29" s="245">
        <v>0</v>
      </c>
      <c r="M29" s="262">
        <f t="shared" ref="M29:M30" si="10">SUM(K29:L29)</f>
        <v>0</v>
      </c>
      <c r="N29" s="218" t="str">
        <f t="shared" si="2"/>
        <v/>
      </c>
    </row>
    <row r="30" spans="1:15" ht="12.95" customHeight="1">
      <c r="B30" s="10"/>
      <c r="C30" s="11"/>
      <c r="D30" s="11"/>
      <c r="E30" s="170"/>
      <c r="F30" s="184">
        <v>821300</v>
      </c>
      <c r="G30" s="203"/>
      <c r="H30" s="24" t="s">
        <v>91</v>
      </c>
      <c r="I30" s="245">
        <v>6000</v>
      </c>
      <c r="J30" s="245">
        <v>6000</v>
      </c>
      <c r="K30" s="391">
        <v>35000</v>
      </c>
      <c r="L30" s="245">
        <v>0</v>
      </c>
      <c r="M30" s="262">
        <f t="shared" si="10"/>
        <v>35000</v>
      </c>
      <c r="N30" s="218">
        <f t="shared" si="2"/>
        <v>583.33333333333326</v>
      </c>
    </row>
    <row r="31" spans="1:15" ht="12.95" customHeight="1">
      <c r="B31" s="10"/>
      <c r="C31" s="11"/>
      <c r="D31" s="11"/>
      <c r="E31" s="170"/>
      <c r="F31" s="184"/>
      <c r="G31" s="203"/>
      <c r="H31" s="24"/>
      <c r="I31" s="245"/>
      <c r="J31" s="245"/>
      <c r="K31" s="391"/>
      <c r="L31" s="245"/>
      <c r="M31" s="263"/>
      <c r="N31" s="218" t="str">
        <f t="shared" si="2"/>
        <v/>
      </c>
    </row>
    <row r="32" spans="1:15" s="1" customFormat="1" ht="12.95" customHeight="1">
      <c r="A32" s="165"/>
      <c r="B32" s="12"/>
      <c r="C32" s="8"/>
      <c r="D32" s="8"/>
      <c r="E32" s="8"/>
      <c r="F32" s="183"/>
      <c r="G32" s="202"/>
      <c r="H32" s="25" t="s">
        <v>92</v>
      </c>
      <c r="I32" s="240">
        <v>14</v>
      </c>
      <c r="J32" s="240">
        <v>14</v>
      </c>
      <c r="K32" s="534">
        <v>14</v>
      </c>
      <c r="L32" s="240"/>
      <c r="M32" s="264">
        <v>14</v>
      </c>
      <c r="N32" s="218"/>
    </row>
    <row r="33" spans="1:14" s="1" customFormat="1" ht="12.95" customHeight="1">
      <c r="A33" s="165"/>
      <c r="B33" s="12"/>
      <c r="C33" s="8"/>
      <c r="D33" s="8"/>
      <c r="E33" s="8"/>
      <c r="F33" s="183"/>
      <c r="G33" s="202"/>
      <c r="H33" s="8" t="s">
        <v>106</v>
      </c>
      <c r="I33" s="398">
        <f>I8+I13+I16+I28</f>
        <v>521780</v>
      </c>
      <c r="J33" s="172">
        <f>J8+J13+J16+J28</f>
        <v>521780</v>
      </c>
      <c r="K33" s="401">
        <f>K8+K13+K16+K28</f>
        <v>565560</v>
      </c>
      <c r="L33" s="172">
        <f>L8+L13+L16+L28</f>
        <v>0</v>
      </c>
      <c r="M33" s="264">
        <f>M8+M13+M16+M28</f>
        <v>565560</v>
      </c>
      <c r="N33" s="217">
        <f>IF(J33=0,"",M33/J33*100)</f>
        <v>108.3905094100962</v>
      </c>
    </row>
    <row r="34" spans="1:14" s="1" customFormat="1" ht="12.95" customHeight="1">
      <c r="A34" s="165"/>
      <c r="B34" s="12"/>
      <c r="C34" s="8"/>
      <c r="D34" s="8"/>
      <c r="E34" s="8"/>
      <c r="F34" s="183"/>
      <c r="G34" s="202"/>
      <c r="H34" s="8" t="s">
        <v>93</v>
      </c>
      <c r="I34" s="15">
        <f>I33</f>
        <v>521780</v>
      </c>
      <c r="J34" s="15">
        <f>J33</f>
        <v>521780</v>
      </c>
      <c r="K34" s="401">
        <f t="shared" ref="K34:M35" si="11">K33</f>
        <v>565560</v>
      </c>
      <c r="L34" s="172">
        <f t="shared" si="11"/>
        <v>0</v>
      </c>
      <c r="M34" s="264">
        <f t="shared" si="11"/>
        <v>565560</v>
      </c>
      <c r="N34" s="217">
        <f>IF(J34=0,"",M34/J34*100)</f>
        <v>108.3905094100962</v>
      </c>
    </row>
    <row r="35" spans="1:14" s="1" customFormat="1" ht="12.95" customHeight="1">
      <c r="A35" s="165"/>
      <c r="B35" s="12"/>
      <c r="C35" s="8"/>
      <c r="D35" s="8"/>
      <c r="E35" s="8"/>
      <c r="F35" s="183"/>
      <c r="G35" s="202"/>
      <c r="H35" s="8" t="s">
        <v>94</v>
      </c>
      <c r="I35" s="15">
        <f>I34</f>
        <v>521780</v>
      </c>
      <c r="J35" s="15">
        <f>J34</f>
        <v>521780</v>
      </c>
      <c r="K35" s="401">
        <f t="shared" si="11"/>
        <v>565560</v>
      </c>
      <c r="L35" s="172">
        <f t="shared" si="11"/>
        <v>0</v>
      </c>
      <c r="M35" s="264">
        <f t="shared" si="11"/>
        <v>565560</v>
      </c>
      <c r="N35" s="217">
        <f>IF(J35=0,"",M35/J35*100)</f>
        <v>108.3905094100962</v>
      </c>
    </row>
    <row r="36" spans="1:14" ht="12.95" customHeight="1" thickBot="1">
      <c r="B36" s="16"/>
      <c r="C36" s="17"/>
      <c r="D36" s="17"/>
      <c r="E36" s="17"/>
      <c r="F36" s="185"/>
      <c r="G36" s="204"/>
      <c r="H36" s="17"/>
      <c r="I36" s="31"/>
      <c r="J36" s="31"/>
      <c r="K36" s="402"/>
      <c r="L36" s="31"/>
      <c r="M36" s="267"/>
      <c r="N36" s="220"/>
    </row>
    <row r="37" spans="1:14" ht="12.95" customHeight="1">
      <c r="F37" s="186"/>
      <c r="G37" s="205"/>
      <c r="M37" s="270"/>
    </row>
    <row r="38" spans="1:14" ht="12.95" customHeight="1">
      <c r="B38" s="45"/>
      <c r="F38" s="186"/>
      <c r="G38" s="205"/>
      <c r="M38" s="270"/>
    </row>
    <row r="39" spans="1:14" ht="12.95" customHeight="1">
      <c r="F39" s="186"/>
      <c r="G39" s="205"/>
      <c r="M39" s="270"/>
    </row>
    <row r="40" spans="1:14" ht="12.95" customHeight="1">
      <c r="F40" s="186"/>
      <c r="G40" s="205"/>
      <c r="M40" s="270"/>
    </row>
    <row r="41" spans="1:14" ht="12.95" customHeight="1">
      <c r="F41" s="186"/>
      <c r="G41" s="205"/>
      <c r="M41" s="270"/>
    </row>
    <row r="42" spans="1:14" ht="12.95" customHeight="1">
      <c r="F42" s="186"/>
      <c r="G42" s="205"/>
      <c r="M42" s="270"/>
    </row>
    <row r="43" spans="1:14" ht="12.95" customHeight="1">
      <c r="F43" s="186"/>
      <c r="G43" s="205"/>
      <c r="M43" s="270"/>
    </row>
    <row r="44" spans="1:14" ht="12.95" customHeight="1">
      <c r="F44" s="186"/>
      <c r="G44" s="205"/>
      <c r="M44" s="270"/>
    </row>
    <row r="45" spans="1:14" ht="12.95" customHeight="1">
      <c r="F45" s="186"/>
      <c r="G45" s="205"/>
      <c r="M45" s="270"/>
    </row>
    <row r="46" spans="1:14" ht="12.95" customHeight="1">
      <c r="F46" s="186"/>
      <c r="G46" s="205"/>
      <c r="M46" s="270"/>
    </row>
    <row r="47" spans="1:14" ht="12.95" customHeight="1">
      <c r="F47" s="186"/>
      <c r="G47" s="205"/>
      <c r="M47" s="270"/>
    </row>
    <row r="48" spans="1:14" ht="12.95" customHeight="1">
      <c r="F48" s="186"/>
      <c r="G48" s="205"/>
      <c r="M48" s="270"/>
    </row>
    <row r="49" spans="6:13" ht="12.95" customHeight="1">
      <c r="F49" s="186"/>
      <c r="G49" s="205"/>
      <c r="M49" s="270"/>
    </row>
    <row r="50" spans="6:13" ht="12.95" customHeight="1">
      <c r="F50" s="186"/>
      <c r="G50" s="205"/>
      <c r="M50" s="270"/>
    </row>
    <row r="51" spans="6:13" ht="12.95" customHeight="1">
      <c r="F51" s="186"/>
      <c r="G51" s="205"/>
      <c r="M51" s="270"/>
    </row>
    <row r="52" spans="6:13" ht="12.95" customHeight="1">
      <c r="F52" s="186"/>
      <c r="G52" s="205"/>
      <c r="M52" s="270"/>
    </row>
    <row r="53" spans="6:13" ht="12.95" customHeight="1">
      <c r="F53" s="186"/>
      <c r="G53" s="205"/>
      <c r="M53" s="270"/>
    </row>
    <row r="54" spans="6:13" ht="12.95" customHeight="1">
      <c r="F54" s="186"/>
      <c r="G54" s="205"/>
      <c r="M54" s="270"/>
    </row>
    <row r="55" spans="6:13" ht="12.95" customHeight="1">
      <c r="F55" s="186"/>
      <c r="G55" s="205"/>
      <c r="M55" s="270"/>
    </row>
    <row r="56" spans="6:13" ht="12.95" customHeight="1">
      <c r="F56" s="186"/>
      <c r="G56" s="205"/>
      <c r="M56" s="270"/>
    </row>
    <row r="57" spans="6:13" ht="12.95" customHeight="1">
      <c r="F57" s="186"/>
      <c r="G57" s="205"/>
      <c r="M57" s="270"/>
    </row>
    <row r="58" spans="6:13" ht="12.95" customHeight="1">
      <c r="F58" s="186"/>
      <c r="G58" s="205"/>
      <c r="M58" s="270"/>
    </row>
    <row r="59" spans="6:13" ht="12.95" customHeight="1">
      <c r="F59" s="186"/>
      <c r="G59" s="205"/>
      <c r="M59" s="270"/>
    </row>
    <row r="60" spans="6:13" ht="17.100000000000001" customHeight="1">
      <c r="F60" s="186"/>
      <c r="G60" s="205"/>
      <c r="M60" s="270"/>
    </row>
    <row r="61" spans="6:13" ht="14.25">
      <c r="F61" s="186"/>
      <c r="G61" s="205"/>
      <c r="M61" s="270"/>
    </row>
    <row r="62" spans="6:13" ht="14.25">
      <c r="F62" s="186"/>
      <c r="G62" s="205"/>
      <c r="M62" s="270"/>
    </row>
    <row r="63" spans="6:13" ht="14.25">
      <c r="F63" s="186"/>
      <c r="G63" s="205"/>
      <c r="M63" s="270"/>
    </row>
    <row r="64" spans="6:13" ht="14.25">
      <c r="F64" s="186"/>
      <c r="G64" s="205"/>
      <c r="M64" s="270"/>
    </row>
    <row r="65" spans="6:13" ht="14.25">
      <c r="F65" s="186"/>
      <c r="G65" s="205"/>
      <c r="M65" s="270"/>
    </row>
    <row r="66" spans="6:13" ht="14.25">
      <c r="F66" s="186"/>
      <c r="G66" s="205"/>
      <c r="M66" s="270"/>
    </row>
    <row r="67" spans="6:13" ht="14.25">
      <c r="F67" s="186"/>
      <c r="G67" s="205"/>
      <c r="M67" s="270"/>
    </row>
    <row r="68" spans="6:13" ht="14.25">
      <c r="F68" s="186"/>
      <c r="G68" s="205"/>
      <c r="M68" s="270"/>
    </row>
    <row r="69" spans="6:13" ht="14.25">
      <c r="F69" s="186"/>
      <c r="G69" s="205"/>
      <c r="M69" s="270"/>
    </row>
    <row r="70" spans="6:13" ht="14.25">
      <c r="F70" s="186"/>
      <c r="G70" s="205"/>
      <c r="M70" s="270"/>
    </row>
    <row r="71" spans="6:13" ht="14.25">
      <c r="F71" s="186"/>
      <c r="G71" s="205"/>
      <c r="M71" s="270"/>
    </row>
    <row r="72" spans="6:13" ht="14.25">
      <c r="F72" s="186"/>
      <c r="G72" s="205"/>
      <c r="M72" s="270"/>
    </row>
    <row r="73" spans="6:13" ht="14.25">
      <c r="F73" s="186"/>
      <c r="G73" s="205"/>
      <c r="M73" s="270"/>
    </row>
    <row r="74" spans="6:13" ht="14.25">
      <c r="F74" s="186"/>
      <c r="G74" s="186"/>
      <c r="M74" s="270"/>
    </row>
    <row r="75" spans="6:13" ht="14.25">
      <c r="F75" s="186"/>
      <c r="G75" s="186"/>
      <c r="M75" s="270"/>
    </row>
    <row r="76" spans="6:13" ht="14.25">
      <c r="F76" s="186"/>
      <c r="G76" s="186"/>
      <c r="M76" s="270"/>
    </row>
    <row r="77" spans="6:13" ht="14.25">
      <c r="F77" s="186"/>
      <c r="G77" s="186"/>
      <c r="M77" s="270"/>
    </row>
    <row r="78" spans="6:13" ht="14.25">
      <c r="F78" s="186"/>
      <c r="G78" s="186"/>
      <c r="M78" s="270"/>
    </row>
    <row r="79" spans="6:13" ht="14.25">
      <c r="F79" s="186"/>
      <c r="G79" s="186"/>
      <c r="M79" s="270"/>
    </row>
    <row r="80" spans="6:13" ht="14.25">
      <c r="F80" s="186"/>
      <c r="G80" s="186"/>
      <c r="M80" s="270"/>
    </row>
    <row r="81" spans="6:13" ht="14.25">
      <c r="F81" s="186"/>
      <c r="G81" s="186"/>
      <c r="M81" s="270"/>
    </row>
    <row r="82" spans="6:13" ht="14.25">
      <c r="F82" s="186"/>
      <c r="G82" s="186"/>
      <c r="M82" s="270"/>
    </row>
    <row r="83" spans="6:13" ht="14.25">
      <c r="F83" s="186"/>
      <c r="G83" s="186"/>
      <c r="M83" s="270"/>
    </row>
    <row r="84" spans="6:13" ht="14.25">
      <c r="F84" s="186"/>
      <c r="G84" s="186"/>
      <c r="M84" s="270"/>
    </row>
    <row r="85" spans="6:13" ht="14.25">
      <c r="F85" s="186"/>
      <c r="G85" s="186"/>
      <c r="M85" s="270"/>
    </row>
    <row r="86" spans="6:13" ht="14.25">
      <c r="F86" s="186"/>
      <c r="G86" s="186"/>
      <c r="M86" s="270"/>
    </row>
    <row r="87" spans="6:13" ht="14.25">
      <c r="F87" s="186"/>
      <c r="G87" s="186"/>
      <c r="M87" s="270"/>
    </row>
    <row r="88" spans="6:13" ht="14.25">
      <c r="F88" s="186"/>
      <c r="G88" s="186"/>
      <c r="M88" s="270"/>
    </row>
    <row r="89" spans="6:13" ht="14.25">
      <c r="F89" s="186"/>
      <c r="G89" s="186"/>
      <c r="M89" s="270"/>
    </row>
    <row r="90" spans="6:13" ht="14.25">
      <c r="F90" s="186"/>
      <c r="G90" s="186"/>
      <c r="M90" s="270"/>
    </row>
    <row r="91" spans="6:13">
      <c r="G91" s="186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</sheetData>
  <mergeCells count="13">
    <mergeCell ref="N4:N5"/>
    <mergeCell ref="H4:H5"/>
    <mergeCell ref="B2:I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00B050"/>
  </sheetPr>
  <dimension ref="A2:O46"/>
  <sheetViews>
    <sheetView topLeftCell="A16" workbookViewId="0">
      <selection activeCell="N36" sqref="N36"/>
    </sheetView>
  </sheetViews>
  <sheetFormatPr defaultRowHeight="12.75"/>
  <cols>
    <col min="1" max="1" width="11.85546875" style="36" customWidth="1"/>
    <col min="2" max="2" width="82.28515625" customWidth="1"/>
    <col min="3" max="11" width="10.7109375" customWidth="1"/>
    <col min="12" max="12" width="11.42578125" style="41" customWidth="1"/>
  </cols>
  <sheetData>
    <row r="2" spans="1:15" ht="15.75">
      <c r="A2" s="848" t="s">
        <v>844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</row>
    <row r="4" spans="1:15" s="41" customFormat="1" ht="51">
      <c r="A4" s="100" t="s">
        <v>324</v>
      </c>
      <c r="B4" s="101" t="s">
        <v>332</v>
      </c>
      <c r="C4" s="100" t="s">
        <v>325</v>
      </c>
      <c r="D4" s="100" t="s">
        <v>326</v>
      </c>
      <c r="E4" s="100" t="s">
        <v>333</v>
      </c>
      <c r="F4" s="100" t="s">
        <v>334</v>
      </c>
      <c r="G4" s="100" t="s">
        <v>327</v>
      </c>
      <c r="H4" s="100" t="s">
        <v>328</v>
      </c>
      <c r="I4" s="100" t="s">
        <v>329</v>
      </c>
      <c r="J4" s="100" t="s">
        <v>335</v>
      </c>
      <c r="K4" s="100" t="s">
        <v>330</v>
      </c>
      <c r="L4" s="100" t="s">
        <v>331</v>
      </c>
    </row>
    <row r="5" spans="1:15" ht="20.100000000000001" customHeight="1">
      <c r="A5" s="94">
        <v>10010001</v>
      </c>
      <c r="B5" s="23" t="s">
        <v>194</v>
      </c>
      <c r="C5" s="92">
        <f>'1'!M9</f>
        <v>504040</v>
      </c>
      <c r="D5" s="92">
        <f>'1'!M10+'1'!M11</f>
        <v>95690</v>
      </c>
      <c r="E5" s="92">
        <f>'1'!M13</f>
        <v>53260</v>
      </c>
      <c r="F5" s="92">
        <f>'1'!M16</f>
        <v>261520</v>
      </c>
      <c r="G5" s="92">
        <v>0</v>
      </c>
      <c r="H5" s="92">
        <v>0</v>
      </c>
      <c r="I5" s="23">
        <v>0</v>
      </c>
      <c r="J5" s="92">
        <f>'1'!M28</f>
        <v>33000</v>
      </c>
      <c r="K5" s="23">
        <v>0</v>
      </c>
      <c r="L5" s="93">
        <f>SUM(C5:K5)</f>
        <v>947510</v>
      </c>
    </row>
    <row r="6" spans="1:15" ht="20.100000000000001" customHeight="1">
      <c r="A6" s="94">
        <v>11010001</v>
      </c>
      <c r="B6" s="23" t="s">
        <v>195</v>
      </c>
      <c r="C6" s="92">
        <f>'2'!M14</f>
        <v>166050</v>
      </c>
      <c r="D6" s="92">
        <f>'2'!M15+'2'!M16</f>
        <v>78050</v>
      </c>
      <c r="E6" s="92">
        <f>'2'!M18</f>
        <v>17660</v>
      </c>
      <c r="F6" s="92">
        <f>'2'!M21</f>
        <v>319300</v>
      </c>
      <c r="G6" s="92">
        <f>'2'!M34</f>
        <v>810000</v>
      </c>
      <c r="H6" s="92">
        <f>'2'!M43</f>
        <v>300000</v>
      </c>
      <c r="I6" s="23">
        <v>0</v>
      </c>
      <c r="J6" s="92">
        <f>'2'!M46</f>
        <v>100000</v>
      </c>
      <c r="K6" s="23">
        <v>0</v>
      </c>
      <c r="L6" s="93">
        <f t="shared" ref="L6:L42" si="0">SUM(C6:K6)</f>
        <v>1791060</v>
      </c>
      <c r="O6" s="57"/>
    </row>
    <row r="7" spans="1:15" ht="20.100000000000001" customHeight="1">
      <c r="A7" s="94">
        <v>11010002</v>
      </c>
      <c r="B7" s="23" t="s">
        <v>691</v>
      </c>
      <c r="C7" s="92">
        <f>'4 (S)'!N9</f>
        <v>0</v>
      </c>
      <c r="D7" s="92">
        <f>'4 (S)'!N10+'4 (S)'!N11</f>
        <v>0</v>
      </c>
      <c r="E7" s="92">
        <f>'4 (S)'!N13</f>
        <v>0</v>
      </c>
      <c r="F7" s="92">
        <f>'4 (S)'!N16</f>
        <v>0</v>
      </c>
      <c r="G7" s="92">
        <f>'4 (S)'!N28</f>
        <v>0</v>
      </c>
      <c r="H7" s="23">
        <v>0</v>
      </c>
      <c r="I7" s="23">
        <v>0</v>
      </c>
      <c r="J7" s="92">
        <f>'4 (S)'!N31</f>
        <v>0</v>
      </c>
      <c r="K7" s="23">
        <v>0</v>
      </c>
      <c r="L7" s="93">
        <f t="shared" si="0"/>
        <v>0</v>
      </c>
    </row>
    <row r="8" spans="1:15" ht="20.100000000000001" customHeight="1">
      <c r="A8" s="94">
        <v>11010003</v>
      </c>
      <c r="B8" s="23" t="s">
        <v>646</v>
      </c>
      <c r="C8" s="92">
        <f>'3'!M9</f>
        <v>53530</v>
      </c>
      <c r="D8" s="92">
        <f>'3'!M10+'3'!M11</f>
        <v>8450</v>
      </c>
      <c r="E8" s="92">
        <f>'3'!M13</f>
        <v>5660</v>
      </c>
      <c r="F8" s="92">
        <f>'3'!M16</f>
        <v>800</v>
      </c>
      <c r="G8" s="23">
        <v>0</v>
      </c>
      <c r="H8" s="23">
        <v>0</v>
      </c>
      <c r="I8" s="23">
        <v>0</v>
      </c>
      <c r="J8" s="92">
        <f>'3'!M28</f>
        <v>500</v>
      </c>
      <c r="K8" s="23">
        <v>0</v>
      </c>
      <c r="L8" s="93">
        <f t="shared" si="0"/>
        <v>68940</v>
      </c>
    </row>
    <row r="9" spans="1:15" ht="20.100000000000001" customHeight="1">
      <c r="A9" s="94">
        <v>11010004</v>
      </c>
      <c r="B9" s="23" t="s">
        <v>644</v>
      </c>
      <c r="C9" s="92">
        <f>'4'!M9</f>
        <v>73450</v>
      </c>
      <c r="D9" s="92">
        <f>'4'!M10+'4'!M11</f>
        <v>10950</v>
      </c>
      <c r="E9" s="92">
        <f>'4'!M13</f>
        <v>7800</v>
      </c>
      <c r="F9" s="92">
        <f>'4'!M16</f>
        <v>5500</v>
      </c>
      <c r="G9" s="23">
        <v>0</v>
      </c>
      <c r="H9" s="23">
        <v>0</v>
      </c>
      <c r="I9" s="23">
        <v>0</v>
      </c>
      <c r="J9" s="92">
        <f>'4'!M28</f>
        <v>1500</v>
      </c>
      <c r="K9" s="23">
        <v>0</v>
      </c>
      <c r="L9" s="93">
        <f t="shared" si="0"/>
        <v>99200</v>
      </c>
    </row>
    <row r="10" spans="1:15" ht="20.100000000000001" customHeight="1">
      <c r="A10" s="94">
        <v>11010005</v>
      </c>
      <c r="B10" s="377" t="s">
        <v>484</v>
      </c>
      <c r="C10" s="92">
        <f>'5'!M9</f>
        <v>144000</v>
      </c>
      <c r="D10" s="92">
        <f>'5'!M10+'5'!M11</f>
        <v>34010</v>
      </c>
      <c r="E10" s="92">
        <f>'5'!M13</f>
        <v>15380</v>
      </c>
      <c r="F10" s="92">
        <f>'5'!M16</f>
        <v>8500</v>
      </c>
      <c r="G10" s="23">
        <v>0</v>
      </c>
      <c r="H10" s="23">
        <v>0</v>
      </c>
      <c r="I10" s="23">
        <v>0</v>
      </c>
      <c r="J10" s="92">
        <f>'5'!M28</f>
        <v>5000</v>
      </c>
      <c r="K10" s="23">
        <v>0</v>
      </c>
      <c r="L10" s="93">
        <f t="shared" si="0"/>
        <v>206890</v>
      </c>
    </row>
    <row r="11" spans="1:15" s="448" customFormat="1" ht="20.100000000000001" customHeight="1">
      <c r="A11" s="94">
        <v>11010006</v>
      </c>
      <c r="B11" s="23" t="s">
        <v>668</v>
      </c>
      <c r="C11" s="92">
        <f>'6'!M9</f>
        <v>94920</v>
      </c>
      <c r="D11" s="92">
        <f>'6'!M10</f>
        <v>21280</v>
      </c>
      <c r="E11" s="92">
        <f>'6'!M13</f>
        <v>10080</v>
      </c>
      <c r="F11" s="92">
        <f>'6'!M16</f>
        <v>5500</v>
      </c>
      <c r="G11" s="92">
        <f>'6'!M28</f>
        <v>120000</v>
      </c>
      <c r="H11" s="23">
        <v>0</v>
      </c>
      <c r="I11" s="23">
        <v>0</v>
      </c>
      <c r="J11" s="92">
        <f>'6'!M31</f>
        <v>1500</v>
      </c>
      <c r="K11" s="23">
        <v>0</v>
      </c>
      <c r="L11" s="93">
        <f t="shared" ref="L11" si="1">SUM(C11:K11)</f>
        <v>253280</v>
      </c>
    </row>
    <row r="12" spans="1:15" ht="20.100000000000001" customHeight="1">
      <c r="A12" s="94">
        <v>12010001</v>
      </c>
      <c r="B12" s="23" t="s">
        <v>642</v>
      </c>
      <c r="C12" s="92">
        <f>'7'!M9</f>
        <v>304390</v>
      </c>
      <c r="D12" s="92">
        <f>'7'!M10+'7'!M11</f>
        <v>72410</v>
      </c>
      <c r="E12" s="92">
        <f>'7'!M13</f>
        <v>32500</v>
      </c>
      <c r="F12" s="92">
        <f>'7'!M16</f>
        <v>385000</v>
      </c>
      <c r="G12" s="23">
        <v>0</v>
      </c>
      <c r="H12" s="23">
        <v>0</v>
      </c>
      <c r="I12" s="23">
        <v>0</v>
      </c>
      <c r="J12" s="92">
        <f>'7'!M28</f>
        <v>53000</v>
      </c>
      <c r="K12" s="23">
        <v>0</v>
      </c>
      <c r="L12" s="93">
        <f t="shared" si="0"/>
        <v>847300</v>
      </c>
    </row>
    <row r="13" spans="1:15" ht="20.100000000000001" customHeight="1">
      <c r="A13" s="94">
        <v>13010001</v>
      </c>
      <c r="B13" s="23" t="s">
        <v>196</v>
      </c>
      <c r="C13" s="92">
        <f>'8'!M9</f>
        <v>5078320</v>
      </c>
      <c r="D13" s="92">
        <f>'8'!M10+'8'!M11</f>
        <v>897740</v>
      </c>
      <c r="E13" s="92">
        <f>'8'!M13</f>
        <v>880400</v>
      </c>
      <c r="F13" s="92">
        <f>'8'!M17</f>
        <v>784000</v>
      </c>
      <c r="G13" s="23">
        <v>0</v>
      </c>
      <c r="H13" s="23">
        <v>0</v>
      </c>
      <c r="I13" s="23">
        <v>0</v>
      </c>
      <c r="J13" s="92">
        <f>'8'!M29</f>
        <v>170000</v>
      </c>
      <c r="K13" s="23">
        <v>0</v>
      </c>
      <c r="L13" s="93">
        <f t="shared" si="0"/>
        <v>7810460</v>
      </c>
    </row>
    <row r="14" spans="1:15" ht="20.100000000000001" customHeight="1">
      <c r="A14" s="94">
        <v>14010001</v>
      </c>
      <c r="B14" s="23" t="s">
        <v>648</v>
      </c>
      <c r="C14" s="92">
        <f>'9'!M9</f>
        <v>141180</v>
      </c>
      <c r="D14" s="92">
        <f>'9'!M10+'9'!M11</f>
        <v>22980</v>
      </c>
      <c r="E14" s="92">
        <f>'9'!M13</f>
        <v>14980</v>
      </c>
      <c r="F14" s="92">
        <f>'9'!M16</f>
        <v>116800</v>
      </c>
      <c r="G14" s="23">
        <v>0</v>
      </c>
      <c r="H14" s="23">
        <v>0</v>
      </c>
      <c r="I14" s="23">
        <v>0</v>
      </c>
      <c r="J14" s="92">
        <f>'9'!M30</f>
        <v>2500</v>
      </c>
      <c r="K14" s="23">
        <v>0</v>
      </c>
      <c r="L14" s="93">
        <f t="shared" si="0"/>
        <v>298440</v>
      </c>
    </row>
    <row r="15" spans="1:15" ht="20.100000000000001" customHeight="1">
      <c r="A15" s="94">
        <v>14020003</v>
      </c>
      <c r="B15" s="23" t="s">
        <v>676</v>
      </c>
      <c r="C15" s="92">
        <f>'10'!M9</f>
        <v>1030380</v>
      </c>
      <c r="D15" s="92">
        <f>'10'!M10+'10'!M11</f>
        <v>195480</v>
      </c>
      <c r="E15" s="92">
        <f>'10'!M13</f>
        <v>111700</v>
      </c>
      <c r="F15" s="92">
        <f>'10'!M16</f>
        <v>238100</v>
      </c>
      <c r="G15" s="23">
        <v>0</v>
      </c>
      <c r="H15" s="23">
        <v>0</v>
      </c>
      <c r="I15" s="23">
        <v>0</v>
      </c>
      <c r="J15" s="92">
        <f>'10'!M29</f>
        <v>50000</v>
      </c>
      <c r="K15" s="23">
        <v>0</v>
      </c>
      <c r="L15" s="93">
        <f t="shared" si="0"/>
        <v>1625660</v>
      </c>
    </row>
    <row r="16" spans="1:15" ht="20.100000000000001" customHeight="1">
      <c r="A16" s="94">
        <v>14050001</v>
      </c>
      <c r="B16" s="23" t="s">
        <v>672</v>
      </c>
      <c r="C16" s="92">
        <f>'11'!M9</f>
        <v>32790</v>
      </c>
      <c r="D16" s="92">
        <f>'11'!M10+'11'!M11</f>
        <v>3640</v>
      </c>
      <c r="E16" s="92">
        <f>'11'!M13</f>
        <v>3490</v>
      </c>
      <c r="F16" s="92">
        <f>'11'!M16</f>
        <v>2800</v>
      </c>
      <c r="G16" s="23">
        <v>0</v>
      </c>
      <c r="H16" s="23">
        <v>0</v>
      </c>
      <c r="I16" s="23">
        <v>0</v>
      </c>
      <c r="J16" s="92">
        <f>'11'!M28</f>
        <v>1000</v>
      </c>
      <c r="K16" s="23">
        <v>0</v>
      </c>
      <c r="L16" s="93">
        <f t="shared" si="0"/>
        <v>43720</v>
      </c>
    </row>
    <row r="17" spans="1:15" ht="20.100000000000001" customHeight="1">
      <c r="A17" s="94">
        <v>14050002</v>
      </c>
      <c r="B17" s="23" t="s">
        <v>673</v>
      </c>
      <c r="C17" s="92">
        <f>'12'!M9</f>
        <v>69010</v>
      </c>
      <c r="D17" s="92">
        <f>'12'!M10+'12'!M11</f>
        <v>11340</v>
      </c>
      <c r="E17" s="92">
        <f>'12'!M13</f>
        <v>7370</v>
      </c>
      <c r="F17" s="92">
        <f>'12'!M16</f>
        <v>3500</v>
      </c>
      <c r="G17" s="23">
        <v>0</v>
      </c>
      <c r="H17" s="23">
        <v>0</v>
      </c>
      <c r="I17" s="23">
        <v>0</v>
      </c>
      <c r="J17" s="92">
        <f>'12'!M28</f>
        <v>1000</v>
      </c>
      <c r="K17" s="23">
        <v>0</v>
      </c>
      <c r="L17" s="93">
        <f t="shared" si="0"/>
        <v>92220</v>
      </c>
    </row>
    <row r="18" spans="1:15" ht="20.100000000000001" customHeight="1">
      <c r="A18" s="94">
        <v>14060001</v>
      </c>
      <c r="B18" s="23" t="s">
        <v>674</v>
      </c>
      <c r="C18" s="92">
        <f>'13'!M9</f>
        <v>76160</v>
      </c>
      <c r="D18" s="92">
        <f>'13'!M10+'13'!M11</f>
        <v>10350</v>
      </c>
      <c r="E18" s="92">
        <f>'13'!M13</f>
        <v>8130</v>
      </c>
      <c r="F18" s="92">
        <f>'13'!M16</f>
        <v>4150</v>
      </c>
      <c r="G18" s="23">
        <v>0</v>
      </c>
      <c r="H18" s="23">
        <v>0</v>
      </c>
      <c r="I18" s="23">
        <v>0</v>
      </c>
      <c r="J18" s="92">
        <f>'13'!M28</f>
        <v>0</v>
      </c>
      <c r="K18" s="23">
        <v>0</v>
      </c>
      <c r="L18" s="93">
        <f t="shared" si="0"/>
        <v>98790</v>
      </c>
    </row>
    <row r="19" spans="1:15" s="588" customFormat="1" ht="20.100000000000001" customHeight="1">
      <c r="A19" s="94">
        <v>14070001</v>
      </c>
      <c r="B19" s="377" t="s">
        <v>897</v>
      </c>
      <c r="C19" s="92">
        <f>'14'!K9</f>
        <v>18400</v>
      </c>
      <c r="D19" s="92">
        <f>'14'!K10</f>
        <v>3020</v>
      </c>
      <c r="E19" s="92">
        <f>'14'!K14</f>
        <v>2000</v>
      </c>
      <c r="F19" s="92">
        <f>'14'!K16</f>
        <v>2800</v>
      </c>
      <c r="G19" s="92">
        <v>0</v>
      </c>
      <c r="H19" s="23">
        <v>0</v>
      </c>
      <c r="I19" s="23">
        <v>0</v>
      </c>
      <c r="J19" s="92">
        <f>'14'!K28</f>
        <v>3000</v>
      </c>
      <c r="K19" s="23">
        <v>0</v>
      </c>
      <c r="L19" s="93">
        <f t="shared" ref="L19" si="2">SUM(C19:K19)</f>
        <v>29220</v>
      </c>
    </row>
    <row r="20" spans="1:15" ht="20.100000000000001" customHeight="1">
      <c r="A20" s="94">
        <v>15010001</v>
      </c>
      <c r="B20" s="23" t="s">
        <v>649</v>
      </c>
      <c r="C20" s="92">
        <f>'15'!M9</f>
        <v>238250</v>
      </c>
      <c r="D20" s="92">
        <f>'15'!M10+'15'!M11</f>
        <v>48360</v>
      </c>
      <c r="E20" s="92">
        <f>'15'!M13</f>
        <v>25330</v>
      </c>
      <c r="F20" s="92">
        <f>'15'!M16</f>
        <v>58050</v>
      </c>
      <c r="G20" s="92">
        <f>'15'!M29</f>
        <v>950000</v>
      </c>
      <c r="H20" s="92">
        <f>'15'!M33</f>
        <v>600000</v>
      </c>
      <c r="I20" s="23">
        <v>0</v>
      </c>
      <c r="J20" s="92">
        <f>'15'!M36</f>
        <v>2000</v>
      </c>
      <c r="K20" s="23">
        <v>0</v>
      </c>
      <c r="L20" s="93">
        <f t="shared" si="0"/>
        <v>1921990</v>
      </c>
    </row>
    <row r="21" spans="1:15" ht="20.100000000000001" customHeight="1">
      <c r="A21" s="94">
        <v>16010001</v>
      </c>
      <c r="B21" s="23" t="s">
        <v>650</v>
      </c>
      <c r="C21" s="92">
        <f>'16'!M12</f>
        <v>374080</v>
      </c>
      <c r="D21" s="92">
        <f>'16'!M13+'16'!M14</f>
        <v>66410</v>
      </c>
      <c r="E21" s="92">
        <f>'16'!M16</f>
        <v>39960</v>
      </c>
      <c r="F21" s="92">
        <f>'16'!M19</f>
        <v>298910</v>
      </c>
      <c r="G21" s="92">
        <f>'16'!M32</f>
        <v>588000</v>
      </c>
      <c r="H21" s="23">
        <v>0</v>
      </c>
      <c r="I21" s="92">
        <f>'16'!M37</f>
        <v>30430</v>
      </c>
      <c r="J21" s="92">
        <f>'16'!M41</f>
        <v>10000</v>
      </c>
      <c r="K21" s="92">
        <f>'16'!M45</f>
        <v>518890</v>
      </c>
      <c r="L21" s="93">
        <f t="shared" si="0"/>
        <v>1926680</v>
      </c>
      <c r="O21" s="57"/>
    </row>
    <row r="22" spans="1:15" ht="20.100000000000001" customHeight="1">
      <c r="A22" s="94">
        <v>17010001</v>
      </c>
      <c r="B22" s="23" t="s">
        <v>651</v>
      </c>
      <c r="C22" s="92">
        <f>'17'!M9</f>
        <v>283740</v>
      </c>
      <c r="D22" s="92">
        <f>'17'!M10+'17'!M11</f>
        <v>36760</v>
      </c>
      <c r="E22" s="92">
        <f>'17'!M13</f>
        <v>26940</v>
      </c>
      <c r="F22" s="92">
        <f>'17'!M16</f>
        <v>69100</v>
      </c>
      <c r="G22" s="92">
        <f>'17'!M28</f>
        <v>4565000</v>
      </c>
      <c r="H22" s="92">
        <v>0</v>
      </c>
      <c r="I22" s="23">
        <v>0</v>
      </c>
      <c r="J22" s="92">
        <f>'17'!M34</f>
        <v>1500</v>
      </c>
      <c r="K22" s="23">
        <v>0</v>
      </c>
      <c r="L22" s="93">
        <f t="shared" si="0"/>
        <v>4983040</v>
      </c>
    </row>
    <row r="23" spans="1:15" ht="20.100000000000001" customHeight="1">
      <c r="A23" s="94">
        <v>18010001</v>
      </c>
      <c r="B23" s="23" t="s">
        <v>652</v>
      </c>
      <c r="C23" s="92">
        <f>'18'!M9</f>
        <v>229570</v>
      </c>
      <c r="D23" s="92">
        <f>'18'!M10+'18'!M11</f>
        <v>52080</v>
      </c>
      <c r="E23" s="92">
        <f>'18'!M13</f>
        <v>24660</v>
      </c>
      <c r="F23" s="92">
        <f>'18'!M16</f>
        <v>383800</v>
      </c>
      <c r="G23" s="92">
        <f>'18'!M29</f>
        <v>280000</v>
      </c>
      <c r="H23" s="23">
        <v>0</v>
      </c>
      <c r="I23" s="23">
        <v>0</v>
      </c>
      <c r="J23" s="92">
        <f>'18'!M32</f>
        <v>1686000</v>
      </c>
      <c r="K23" s="23">
        <v>0</v>
      </c>
      <c r="L23" s="93">
        <f t="shared" si="0"/>
        <v>2656110</v>
      </c>
    </row>
    <row r="24" spans="1:15" ht="20.100000000000001" customHeight="1">
      <c r="A24" s="94">
        <v>19010001</v>
      </c>
      <c r="B24" s="23" t="s">
        <v>653</v>
      </c>
      <c r="C24" s="92">
        <f>'19'!M9</f>
        <v>643850</v>
      </c>
      <c r="D24" s="92">
        <f>'19'!M10+'19'!M11</f>
        <v>117560</v>
      </c>
      <c r="E24" s="92">
        <f>'19'!M13</f>
        <v>68830</v>
      </c>
      <c r="F24" s="92">
        <f>'19'!M16</f>
        <v>78850</v>
      </c>
      <c r="G24" s="92">
        <f>'19'!M28</f>
        <v>1750000</v>
      </c>
      <c r="H24" s="92">
        <f>'19'!M34</f>
        <v>450000</v>
      </c>
      <c r="I24" s="23">
        <v>0</v>
      </c>
      <c r="J24" s="92">
        <f>'19'!M38</f>
        <v>35000</v>
      </c>
      <c r="K24" s="23">
        <v>0</v>
      </c>
      <c r="L24" s="93">
        <f t="shared" si="0"/>
        <v>3144090</v>
      </c>
    </row>
    <row r="25" spans="1:15" ht="20.100000000000001" customHeight="1">
      <c r="A25" s="94">
        <v>20010001</v>
      </c>
      <c r="B25" s="23" t="s">
        <v>654</v>
      </c>
      <c r="C25" s="92">
        <f>'20'!M9</f>
        <v>357770</v>
      </c>
      <c r="D25" s="92">
        <f>'20'!M10+'20'!M11</f>
        <v>63390</v>
      </c>
      <c r="E25" s="92">
        <f>'20'!M13</f>
        <v>38290</v>
      </c>
      <c r="F25" s="92">
        <f>'20'!M16</f>
        <v>252300</v>
      </c>
      <c r="G25" s="92">
        <f>'20'!M31</f>
        <v>1615000</v>
      </c>
      <c r="H25" s="92">
        <v>0</v>
      </c>
      <c r="I25" s="92">
        <v>0</v>
      </c>
      <c r="J25" s="92">
        <f>'20'!M41</f>
        <v>130000</v>
      </c>
      <c r="K25" s="92">
        <v>0</v>
      </c>
      <c r="L25" s="93">
        <f t="shared" si="0"/>
        <v>2456750</v>
      </c>
    </row>
    <row r="26" spans="1:15" ht="20.100000000000001" customHeight="1">
      <c r="A26" s="94">
        <v>20020002</v>
      </c>
      <c r="B26" s="23" t="s">
        <v>702</v>
      </c>
      <c r="C26" s="92">
        <f>'21'!M9</f>
        <v>978760</v>
      </c>
      <c r="D26" s="92">
        <f>'21'!M10+'21'!M11</f>
        <v>213290</v>
      </c>
      <c r="E26" s="92">
        <f>'21'!M13</f>
        <v>101800</v>
      </c>
      <c r="F26" s="92">
        <f>'21'!M16</f>
        <v>176080</v>
      </c>
      <c r="G26" s="23">
        <v>0</v>
      </c>
      <c r="H26" s="23">
        <v>0</v>
      </c>
      <c r="I26" s="23">
        <v>0</v>
      </c>
      <c r="J26" s="92">
        <f>'21'!M28</f>
        <v>43000</v>
      </c>
      <c r="K26" s="23">
        <v>0</v>
      </c>
      <c r="L26" s="93">
        <f t="shared" si="0"/>
        <v>1512930</v>
      </c>
    </row>
    <row r="27" spans="1:15" ht="20.100000000000001" customHeight="1">
      <c r="A27" s="94">
        <v>20020003</v>
      </c>
      <c r="B27" s="23" t="s">
        <v>703</v>
      </c>
      <c r="C27" s="92">
        <f>'22'!M9</f>
        <v>859630</v>
      </c>
      <c r="D27" s="92">
        <f>'22'!M10+'22'!M11</f>
        <v>192800</v>
      </c>
      <c r="E27" s="92">
        <f>'22'!M13</f>
        <v>90180</v>
      </c>
      <c r="F27" s="92">
        <f>'22'!M16</f>
        <v>186530</v>
      </c>
      <c r="G27" s="23">
        <v>0</v>
      </c>
      <c r="H27" s="23">
        <v>0</v>
      </c>
      <c r="I27" s="23">
        <v>0</v>
      </c>
      <c r="J27" s="92">
        <f>'22'!M28</f>
        <v>40000</v>
      </c>
      <c r="K27" s="23">
        <v>0</v>
      </c>
      <c r="L27" s="93">
        <f t="shared" si="0"/>
        <v>1369140</v>
      </c>
    </row>
    <row r="28" spans="1:15" ht="20.100000000000001" customHeight="1">
      <c r="A28" s="94">
        <v>20020004</v>
      </c>
      <c r="B28" s="23" t="s">
        <v>704</v>
      </c>
      <c r="C28" s="92">
        <f>'23'!M9</f>
        <v>796050</v>
      </c>
      <c r="D28" s="92">
        <f>'23'!M10+'23'!M11</f>
        <v>161530</v>
      </c>
      <c r="E28" s="92">
        <f>'23'!M13</f>
        <v>83610</v>
      </c>
      <c r="F28" s="92">
        <f>'23'!M16</f>
        <v>148190</v>
      </c>
      <c r="G28" s="23">
        <v>0</v>
      </c>
      <c r="H28" s="23">
        <v>0</v>
      </c>
      <c r="I28" s="23">
        <v>0</v>
      </c>
      <c r="J28" s="92">
        <f>'23'!M28</f>
        <v>28000</v>
      </c>
      <c r="K28" s="23">
        <v>0</v>
      </c>
      <c r="L28" s="93">
        <f t="shared" si="0"/>
        <v>1217380</v>
      </c>
    </row>
    <row r="29" spans="1:15" ht="20.100000000000001" customHeight="1">
      <c r="A29" s="94">
        <v>20030001</v>
      </c>
      <c r="B29" s="377" t="s">
        <v>682</v>
      </c>
      <c r="C29" s="92">
        <f>'24'!M9</f>
        <v>1039800</v>
      </c>
      <c r="D29" s="92">
        <f>'24'!M10+'24'!M11</f>
        <v>190180</v>
      </c>
      <c r="E29" s="92">
        <f>'24'!M13</f>
        <v>109500</v>
      </c>
      <c r="F29" s="92">
        <f>'24'!M16</f>
        <v>97900</v>
      </c>
      <c r="G29" s="23">
        <v>0</v>
      </c>
      <c r="H29" s="23">
        <v>0</v>
      </c>
      <c r="I29" s="23">
        <v>0</v>
      </c>
      <c r="J29" s="92">
        <f>'24'!M28</f>
        <v>40000</v>
      </c>
      <c r="K29" s="23">
        <v>0</v>
      </c>
      <c r="L29" s="93">
        <f t="shared" si="0"/>
        <v>1477380</v>
      </c>
    </row>
    <row r="30" spans="1:15" ht="20.100000000000001" customHeight="1">
      <c r="A30" s="94">
        <v>20030002</v>
      </c>
      <c r="B30" s="23" t="s">
        <v>705</v>
      </c>
      <c r="C30" s="92">
        <f>'25'!M9</f>
        <v>2253220</v>
      </c>
      <c r="D30" s="92">
        <f>'25'!M10+'25'!M11</f>
        <v>423660</v>
      </c>
      <c r="E30" s="92">
        <f>'25'!M13</f>
        <v>236620</v>
      </c>
      <c r="F30" s="92">
        <f>'25'!M16</f>
        <v>213850</v>
      </c>
      <c r="G30" s="23">
        <v>0</v>
      </c>
      <c r="H30" s="23">
        <v>0</v>
      </c>
      <c r="I30" s="23">
        <v>0</v>
      </c>
      <c r="J30" s="92">
        <f>'25'!M28</f>
        <v>30000</v>
      </c>
      <c r="K30" s="23">
        <v>0</v>
      </c>
      <c r="L30" s="93">
        <f t="shared" si="0"/>
        <v>3157350</v>
      </c>
    </row>
    <row r="31" spans="1:15" ht="20.100000000000001" customHeight="1">
      <c r="A31" s="94">
        <v>20030003</v>
      </c>
      <c r="B31" s="23" t="s">
        <v>706</v>
      </c>
      <c r="C31" s="92">
        <f>'26'!M9</f>
        <v>571730</v>
      </c>
      <c r="D31" s="92">
        <f>'26'!M10+'26'!M11</f>
        <v>101170</v>
      </c>
      <c r="E31" s="92">
        <f>'26'!M13</f>
        <v>60860</v>
      </c>
      <c r="F31" s="92">
        <f>'26'!M16</f>
        <v>55880</v>
      </c>
      <c r="G31" s="23">
        <v>0</v>
      </c>
      <c r="H31" s="23">
        <v>0</v>
      </c>
      <c r="I31" s="23">
        <v>0</v>
      </c>
      <c r="J31" s="92">
        <f>'26'!M28</f>
        <v>13000</v>
      </c>
      <c r="K31" s="23">
        <v>0</v>
      </c>
      <c r="L31" s="93">
        <f t="shared" si="0"/>
        <v>802640</v>
      </c>
    </row>
    <row r="32" spans="1:15" ht="20.100000000000001" customHeight="1">
      <c r="A32" s="94">
        <v>20030004</v>
      </c>
      <c r="B32" s="23" t="s">
        <v>707</v>
      </c>
      <c r="C32" s="92">
        <f>'27'!M9</f>
        <v>724540</v>
      </c>
      <c r="D32" s="92">
        <f>'27'!M10+'27'!M11</f>
        <v>134990</v>
      </c>
      <c r="E32" s="92">
        <f>'27'!M13</f>
        <v>73620</v>
      </c>
      <c r="F32" s="92">
        <f>'27'!M16</f>
        <v>74400</v>
      </c>
      <c r="G32" s="23">
        <v>0</v>
      </c>
      <c r="H32" s="23">
        <v>0</v>
      </c>
      <c r="I32" s="23">
        <v>0</v>
      </c>
      <c r="J32" s="92">
        <f>'27'!M28</f>
        <v>20000</v>
      </c>
      <c r="K32" s="23">
        <v>0</v>
      </c>
      <c r="L32" s="93">
        <f t="shared" si="0"/>
        <v>1027550</v>
      </c>
    </row>
    <row r="33" spans="1:12" ht="20.100000000000001" customHeight="1">
      <c r="A33" s="94">
        <v>20030005</v>
      </c>
      <c r="B33" s="377" t="s">
        <v>708</v>
      </c>
      <c r="C33" s="92">
        <f>'28'!M9</f>
        <v>826600</v>
      </c>
      <c r="D33" s="92">
        <f>'28'!M10+'28'!M11</f>
        <v>170390</v>
      </c>
      <c r="E33" s="92">
        <f>'28'!M13</f>
        <v>87320</v>
      </c>
      <c r="F33" s="92">
        <f>'28'!M16</f>
        <v>113660</v>
      </c>
      <c r="G33" s="23">
        <v>0</v>
      </c>
      <c r="H33" s="23">
        <v>0</v>
      </c>
      <c r="I33" s="23">
        <v>0</v>
      </c>
      <c r="J33" s="92">
        <f>'28'!M28</f>
        <v>15000</v>
      </c>
      <c r="K33" s="23">
        <v>0</v>
      </c>
      <c r="L33" s="93">
        <f t="shared" si="0"/>
        <v>1212970</v>
      </c>
    </row>
    <row r="34" spans="1:12" ht="20.100000000000001" customHeight="1">
      <c r="A34" s="94">
        <v>20030006</v>
      </c>
      <c r="B34" s="23" t="s">
        <v>709</v>
      </c>
      <c r="C34" s="92">
        <f>'29'!M9</f>
        <v>321310</v>
      </c>
      <c r="D34" s="92">
        <f>'29'!M10+'29'!M11</f>
        <v>74780</v>
      </c>
      <c r="E34" s="92">
        <f>'29'!M13</f>
        <v>34340</v>
      </c>
      <c r="F34" s="92">
        <f>'29'!M16</f>
        <v>57860</v>
      </c>
      <c r="G34" s="23">
        <v>0</v>
      </c>
      <c r="H34" s="23">
        <v>0</v>
      </c>
      <c r="I34" s="23">
        <v>0</v>
      </c>
      <c r="J34" s="92">
        <f>'29'!M28</f>
        <v>3500</v>
      </c>
      <c r="K34" s="23">
        <v>0</v>
      </c>
      <c r="L34" s="93">
        <f t="shared" si="0"/>
        <v>491790</v>
      </c>
    </row>
    <row r="35" spans="1:12" ht="20.100000000000001" customHeight="1">
      <c r="A35" s="94">
        <v>20030007</v>
      </c>
      <c r="B35" s="23" t="s">
        <v>710</v>
      </c>
      <c r="C35" s="92">
        <f>'30'!M9</f>
        <v>547570</v>
      </c>
      <c r="D35" s="92">
        <f>'30'!M10+'30'!M11</f>
        <v>110950</v>
      </c>
      <c r="E35" s="92">
        <f>'30'!M13</f>
        <v>58100</v>
      </c>
      <c r="F35" s="92">
        <f>'30'!M16</f>
        <v>64920</v>
      </c>
      <c r="G35" s="23">
        <v>0</v>
      </c>
      <c r="H35" s="23">
        <v>0</v>
      </c>
      <c r="I35" s="23">
        <v>0</v>
      </c>
      <c r="J35" s="92">
        <f>'30'!M28</f>
        <v>4000</v>
      </c>
      <c r="K35" s="23">
        <v>0</v>
      </c>
      <c r="L35" s="93">
        <f t="shared" si="0"/>
        <v>785540</v>
      </c>
    </row>
    <row r="36" spans="1:12" ht="20.100000000000001" customHeight="1">
      <c r="A36" s="94">
        <v>21010001</v>
      </c>
      <c r="B36" s="23" t="s">
        <v>655</v>
      </c>
      <c r="C36" s="92">
        <f>'31'!M9</f>
        <v>228820</v>
      </c>
      <c r="D36" s="92">
        <f>'31'!M10+'31'!M11</f>
        <v>51910</v>
      </c>
      <c r="E36" s="92">
        <f>'31'!M13</f>
        <v>24330</v>
      </c>
      <c r="F36" s="92">
        <f>'31'!M16</f>
        <v>43000</v>
      </c>
      <c r="G36" s="92">
        <f>'31'!M28</f>
        <v>1600000</v>
      </c>
      <c r="H36" s="23">
        <v>0</v>
      </c>
      <c r="I36" s="23">
        <v>0</v>
      </c>
      <c r="J36" s="92">
        <f>'31'!M31</f>
        <v>6200</v>
      </c>
      <c r="K36" s="23">
        <v>0</v>
      </c>
      <c r="L36" s="93">
        <f t="shared" si="0"/>
        <v>1954260</v>
      </c>
    </row>
    <row r="37" spans="1:12" ht="20.100000000000001" customHeight="1">
      <c r="A37" s="94">
        <v>22010001</v>
      </c>
      <c r="B37" s="23" t="s">
        <v>669</v>
      </c>
      <c r="C37" s="92">
        <f>'32'!M9</f>
        <v>97500</v>
      </c>
      <c r="D37" s="92">
        <f>'32'!M10+'32'!M11</f>
        <v>11690</v>
      </c>
      <c r="E37" s="92">
        <f>'32'!M13</f>
        <v>9820</v>
      </c>
      <c r="F37" s="92">
        <f>'32'!M16</f>
        <v>24200</v>
      </c>
      <c r="G37" s="23">
        <v>0</v>
      </c>
      <c r="H37" s="23">
        <v>0</v>
      </c>
      <c r="I37" s="23">
        <v>0</v>
      </c>
      <c r="J37" s="92">
        <f>'32'!M28</f>
        <v>0</v>
      </c>
      <c r="K37" s="23">
        <v>0</v>
      </c>
      <c r="L37" s="93">
        <f t="shared" si="0"/>
        <v>143210</v>
      </c>
    </row>
    <row r="38" spans="1:12" ht="20.100000000000001" customHeight="1">
      <c r="A38" s="94">
        <v>23010001</v>
      </c>
      <c r="B38" s="23" t="s">
        <v>667</v>
      </c>
      <c r="C38" s="92">
        <f>'33'!M9</f>
        <v>446650</v>
      </c>
      <c r="D38" s="92">
        <f>'33'!M10+'33'!M11</f>
        <v>111080</v>
      </c>
      <c r="E38" s="92">
        <f>'33'!M13</f>
        <v>46960</v>
      </c>
      <c r="F38" s="92">
        <f>'33'!M16</f>
        <v>129500</v>
      </c>
      <c r="G38" s="92">
        <f>'33'!M28</f>
        <v>110000</v>
      </c>
      <c r="H38" s="23">
        <v>0</v>
      </c>
      <c r="I38" s="23">
        <v>0</v>
      </c>
      <c r="J38" s="92">
        <f>'33'!M32</f>
        <v>45000</v>
      </c>
      <c r="K38" s="23">
        <v>0</v>
      </c>
      <c r="L38" s="93">
        <f t="shared" si="0"/>
        <v>889190</v>
      </c>
    </row>
    <row r="39" spans="1:12" ht="20.100000000000001" customHeight="1">
      <c r="A39" s="94">
        <v>24010001</v>
      </c>
      <c r="B39" s="23" t="s">
        <v>198</v>
      </c>
      <c r="C39" s="92">
        <f>'34'!M9</f>
        <v>523980</v>
      </c>
      <c r="D39" s="92">
        <f>'34'!M10+'34'!M11</f>
        <v>74740</v>
      </c>
      <c r="E39" s="92">
        <f>'34'!M13</f>
        <v>56060</v>
      </c>
      <c r="F39" s="92">
        <f>'34'!M16</f>
        <v>94500</v>
      </c>
      <c r="G39" s="23">
        <v>0</v>
      </c>
      <c r="H39" s="23">
        <v>0</v>
      </c>
      <c r="I39" s="23">
        <v>0</v>
      </c>
      <c r="J39" s="92">
        <f>'34'!M28</f>
        <v>10000</v>
      </c>
      <c r="K39" s="23">
        <v>0</v>
      </c>
      <c r="L39" s="93">
        <f t="shared" si="0"/>
        <v>759280</v>
      </c>
    </row>
    <row r="40" spans="1:12" ht="20.100000000000001" customHeight="1">
      <c r="A40" s="94">
        <v>26010001</v>
      </c>
      <c r="B40" s="23" t="s">
        <v>199</v>
      </c>
      <c r="C40" s="92">
        <f>'35'!M9</f>
        <v>65370</v>
      </c>
      <c r="D40" s="92">
        <f>'35'!M10+'35'!M11</f>
        <v>10290</v>
      </c>
      <c r="E40" s="92">
        <f>'35'!M13</f>
        <v>6960</v>
      </c>
      <c r="F40" s="92">
        <f>'35'!M16</f>
        <v>15900</v>
      </c>
      <c r="G40" s="92">
        <v>0</v>
      </c>
      <c r="H40" s="23">
        <v>0</v>
      </c>
      <c r="I40" s="23">
        <v>0</v>
      </c>
      <c r="J40" s="92">
        <f>'35'!M28</f>
        <v>1000</v>
      </c>
      <c r="K40" s="23">
        <v>0</v>
      </c>
      <c r="L40" s="93">
        <f t="shared" si="0"/>
        <v>99520</v>
      </c>
    </row>
    <row r="41" spans="1:12" ht="20.100000000000001" customHeight="1">
      <c r="A41" s="94">
        <v>27010001</v>
      </c>
      <c r="B41" s="23" t="s">
        <v>675</v>
      </c>
      <c r="C41" s="92">
        <f>'36'!M9</f>
        <v>366350</v>
      </c>
      <c r="D41" s="92">
        <f>'36'!M10+'36'!M11</f>
        <v>62030</v>
      </c>
      <c r="E41" s="92">
        <f>'36'!M13</f>
        <v>39810</v>
      </c>
      <c r="F41" s="92">
        <f>'36'!M16</f>
        <v>71510</v>
      </c>
      <c r="G41" s="23">
        <v>0</v>
      </c>
      <c r="H41" s="23">
        <v>0</v>
      </c>
      <c r="I41" s="23">
        <v>0</v>
      </c>
      <c r="J41" s="92">
        <f>'36'!M28</f>
        <v>10000</v>
      </c>
      <c r="K41" s="23">
        <v>0</v>
      </c>
      <c r="L41" s="93">
        <f t="shared" si="0"/>
        <v>549700</v>
      </c>
    </row>
    <row r="42" spans="1:12" ht="20.100000000000001" customHeight="1">
      <c r="A42" s="94">
        <v>28010001</v>
      </c>
      <c r="B42" s="23" t="s">
        <v>200</v>
      </c>
      <c r="C42" s="92">
        <f>'37'!M9</f>
        <v>397210</v>
      </c>
      <c r="D42" s="92">
        <f>'37'!M10+'37'!M11</f>
        <v>59890</v>
      </c>
      <c r="E42" s="92">
        <f>'37'!M13</f>
        <v>42360</v>
      </c>
      <c r="F42" s="92">
        <f>'37'!M16</f>
        <v>31100</v>
      </c>
      <c r="G42" s="92">
        <v>0</v>
      </c>
      <c r="H42" s="23">
        <v>0</v>
      </c>
      <c r="I42" s="23">
        <v>0</v>
      </c>
      <c r="J42" s="92">
        <f>'37'!M28</f>
        <v>35000</v>
      </c>
      <c r="K42" s="23">
        <v>0</v>
      </c>
      <c r="L42" s="93">
        <f t="shared" si="0"/>
        <v>565560</v>
      </c>
    </row>
    <row r="43" spans="1:12" s="41" customFormat="1" ht="20.100000000000001" customHeight="1">
      <c r="A43" s="63"/>
      <c r="B43" s="98" t="s">
        <v>336</v>
      </c>
      <c r="C43" s="99">
        <f>SUM(C5:C42)</f>
        <v>20958970</v>
      </c>
      <c r="D43" s="99">
        <f t="shared" ref="D43:K43" si="3">SUM(D5:D42)</f>
        <v>4005320</v>
      </c>
      <c r="E43" s="99">
        <f t="shared" si="3"/>
        <v>2556670</v>
      </c>
      <c r="F43" s="99">
        <f t="shared" si="3"/>
        <v>4878260</v>
      </c>
      <c r="G43" s="99">
        <f t="shared" si="3"/>
        <v>12388000</v>
      </c>
      <c r="H43" s="99">
        <f t="shared" si="3"/>
        <v>1350000</v>
      </c>
      <c r="I43" s="99">
        <f t="shared" si="3"/>
        <v>30430</v>
      </c>
      <c r="J43" s="99">
        <f t="shared" si="3"/>
        <v>2630200</v>
      </c>
      <c r="K43" s="99">
        <f t="shared" si="3"/>
        <v>518890</v>
      </c>
      <c r="L43" s="99">
        <f>SUM(L5:L42)</f>
        <v>49316740</v>
      </c>
    </row>
    <row r="44" spans="1:12" ht="20.100000000000001" customHeight="1">
      <c r="B44" t="s">
        <v>337</v>
      </c>
      <c r="L44" s="77">
        <f>Rashodi!J9</f>
        <v>460000</v>
      </c>
    </row>
    <row r="45" spans="1:12" ht="20.100000000000001" customHeight="1">
      <c r="B45" t="s">
        <v>357</v>
      </c>
      <c r="L45" s="77">
        <f>Uvod!F42</f>
        <v>3610</v>
      </c>
    </row>
    <row r="46" spans="1:12" ht="20.100000000000001" customHeight="1">
      <c r="A46" s="95"/>
      <c r="B46" s="97" t="s">
        <v>336</v>
      </c>
      <c r="C46" s="96"/>
      <c r="D46" s="96"/>
      <c r="E46" s="96"/>
      <c r="F46" s="96"/>
      <c r="G46" s="96"/>
      <c r="H46" s="96"/>
      <c r="I46" s="96"/>
      <c r="J46" s="96"/>
      <c r="K46" s="96"/>
      <c r="L46" s="102">
        <f>L43+L44+L45</f>
        <v>49780350</v>
      </c>
    </row>
  </sheetData>
  <mergeCells count="1">
    <mergeCell ref="A2:L2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67" orientation="landscape" r:id="rId1"/>
  <headerFooter alignWithMargins="0"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2:J119"/>
  <sheetViews>
    <sheetView zoomScaleSheetLayoutView="100" workbookViewId="0">
      <selection activeCell="L18" sqref="L18"/>
    </sheetView>
  </sheetViews>
  <sheetFormatPr defaultRowHeight="12.75"/>
  <cols>
    <col min="1" max="1" width="6.140625" style="298" customWidth="1"/>
    <col min="2" max="2" width="6.85546875" customWidth="1"/>
    <col min="3" max="3" width="11.5703125" customWidth="1"/>
    <col min="4" max="4" width="72.7109375" customWidth="1"/>
    <col min="5" max="5" width="20.140625" customWidth="1"/>
    <col min="6" max="6" width="17.7109375" customWidth="1"/>
    <col min="7" max="7" width="8.85546875" customWidth="1"/>
    <col min="9" max="10" width="10.140625" bestFit="1" customWidth="1"/>
  </cols>
  <sheetData>
    <row r="2" spans="2:10" ht="15">
      <c r="B2" s="916" t="s">
        <v>853</v>
      </c>
      <c r="C2" s="825"/>
      <c r="D2" s="825"/>
      <c r="E2" s="825"/>
      <c r="F2" s="825"/>
      <c r="G2" s="825"/>
    </row>
    <row r="3" spans="2:10" ht="15">
      <c r="B3" s="105"/>
      <c r="C3" s="107"/>
      <c r="D3" s="106"/>
      <c r="E3" s="106"/>
      <c r="F3" s="106"/>
    </row>
    <row r="4" spans="2:10">
      <c r="B4" s="108"/>
      <c r="C4" s="108"/>
      <c r="D4" s="109"/>
      <c r="E4" s="110"/>
      <c r="F4" s="110"/>
    </row>
    <row r="5" spans="2:10" ht="66" customHeight="1">
      <c r="B5" s="111" t="s">
        <v>202</v>
      </c>
      <c r="C5" s="112" t="s">
        <v>359</v>
      </c>
      <c r="D5" s="112" t="s">
        <v>360</v>
      </c>
      <c r="E5" s="111" t="s">
        <v>898</v>
      </c>
      <c r="F5" s="113" t="s">
        <v>852</v>
      </c>
      <c r="G5" s="113" t="s">
        <v>55</v>
      </c>
    </row>
    <row r="6" spans="2:10">
      <c r="B6" s="114"/>
      <c r="C6" s="115">
        <v>1</v>
      </c>
      <c r="D6" s="115">
        <v>2</v>
      </c>
      <c r="E6" s="116">
        <v>3</v>
      </c>
      <c r="F6" s="116">
        <v>4</v>
      </c>
      <c r="G6" s="152">
        <v>5</v>
      </c>
    </row>
    <row r="7" spans="2:10">
      <c r="B7" s="366">
        <v>1</v>
      </c>
      <c r="C7" s="367"/>
      <c r="D7" s="367" t="s">
        <v>54</v>
      </c>
      <c r="E7" s="368">
        <f>E8+E17+E23+E30+E40+E47+E54+E61+E68+E77</f>
        <v>47097080</v>
      </c>
      <c r="F7" s="368">
        <f>F8+F17+F23+F30+F40+F47+F54+F61+F68+F77</f>
        <v>49316740</v>
      </c>
      <c r="G7" s="369">
        <f>IF(E7=0,"",F7/E7*100)</f>
        <v>104.7129461104595</v>
      </c>
      <c r="I7" s="57"/>
      <c r="J7" s="57"/>
    </row>
    <row r="8" spans="2:10">
      <c r="B8" s="366">
        <v>2</v>
      </c>
      <c r="C8" s="370" t="s">
        <v>80</v>
      </c>
      <c r="D8" s="371" t="s">
        <v>58</v>
      </c>
      <c r="E8" s="368">
        <f>SUM(E9:E16)</f>
        <v>6456290</v>
      </c>
      <c r="F8" s="368">
        <f>SUM(F9:F16)</f>
        <v>6170080</v>
      </c>
      <c r="G8" s="372">
        <f>IF(E8=0,"",F8/E8*100)</f>
        <v>95.566958733266318</v>
      </c>
      <c r="I8" s="57"/>
    </row>
    <row r="9" spans="2:10" ht="14.1" customHeight="1">
      <c r="B9" s="114">
        <v>3</v>
      </c>
      <c r="C9" s="117" t="s">
        <v>361</v>
      </c>
      <c r="D9" s="118" t="s">
        <v>59</v>
      </c>
      <c r="E9" s="91">
        <f>'1'!J34+'2'!J52-'2'!J8+'3'!J33+'4'!J33+'5'!J33+'6'!J36+'16'!J50-'16'!J8</f>
        <v>5536780</v>
      </c>
      <c r="F9" s="91">
        <f>'1'!M34+'2'!M52-'2'!M8+'4 (S)'!N36+'3'!M33+'4'!M33+'5'!M33+'6'!M36+'16'!M50-'16'!M8</f>
        <v>5293560</v>
      </c>
      <c r="G9" s="119">
        <f>IF(E9=0,"",F9/E9*100)</f>
        <v>95.607194073089403</v>
      </c>
      <c r="J9" s="57"/>
    </row>
    <row r="10" spans="2:10" ht="14.1" customHeight="1">
      <c r="B10" s="114">
        <v>4</v>
      </c>
      <c r="C10" s="117" t="s">
        <v>362</v>
      </c>
      <c r="D10" s="118" t="s">
        <v>363</v>
      </c>
      <c r="E10" s="91">
        <v>0</v>
      </c>
      <c r="F10" s="91">
        <v>0</v>
      </c>
      <c r="G10" s="119" t="str">
        <f t="shared" ref="G10:G73" si="0">IF(E10=0,"",F10/E10*100)</f>
        <v/>
      </c>
      <c r="I10" s="57"/>
    </row>
    <row r="11" spans="2:10" ht="14.1" customHeight="1">
      <c r="B11" s="114">
        <v>5</v>
      </c>
      <c r="C11" s="117" t="s">
        <v>364</v>
      </c>
      <c r="D11" s="118" t="s">
        <v>365</v>
      </c>
      <c r="E11" s="91">
        <f>'7'!J33+'14'!J33</f>
        <v>919510</v>
      </c>
      <c r="F11" s="91">
        <f>'7'!M33+'14'!M33</f>
        <v>876520</v>
      </c>
      <c r="G11" s="119">
        <f t="shared" si="0"/>
        <v>95.324683798979891</v>
      </c>
    </row>
    <row r="12" spans="2:10" ht="14.1" customHeight="1">
      <c r="B12" s="114">
        <v>6</v>
      </c>
      <c r="C12" s="117" t="s">
        <v>366</v>
      </c>
      <c r="D12" s="118" t="s">
        <v>367</v>
      </c>
      <c r="E12" s="91">
        <v>0</v>
      </c>
      <c r="F12" s="91">
        <v>0</v>
      </c>
      <c r="G12" s="119" t="str">
        <f t="shared" si="0"/>
        <v/>
      </c>
    </row>
    <row r="13" spans="2:10" ht="14.1" customHeight="1">
      <c r="B13" s="114">
        <v>7</v>
      </c>
      <c r="C13" s="117" t="s">
        <v>368</v>
      </c>
      <c r="D13" s="118" t="s">
        <v>369</v>
      </c>
      <c r="E13" s="91">
        <v>0</v>
      </c>
      <c r="F13" s="91">
        <v>0</v>
      </c>
      <c r="G13" s="119" t="str">
        <f t="shared" si="0"/>
        <v/>
      </c>
    </row>
    <row r="14" spans="2:10" ht="14.1" customHeight="1">
      <c r="B14" s="114">
        <v>8</v>
      </c>
      <c r="C14" s="117" t="s">
        <v>370</v>
      </c>
      <c r="D14" s="118" t="s">
        <v>371</v>
      </c>
      <c r="E14" s="91">
        <v>0</v>
      </c>
      <c r="F14" s="91">
        <v>0</v>
      </c>
      <c r="G14" s="119" t="str">
        <f t="shared" si="0"/>
        <v/>
      </c>
    </row>
    <row r="15" spans="2:10" ht="14.1" customHeight="1">
      <c r="B15" s="114">
        <v>9</v>
      </c>
      <c r="C15" s="117" t="s">
        <v>372</v>
      </c>
      <c r="D15" s="118" t="s">
        <v>373</v>
      </c>
      <c r="E15" s="91">
        <v>0</v>
      </c>
      <c r="F15" s="91">
        <v>0</v>
      </c>
      <c r="G15" s="119" t="str">
        <f t="shared" si="0"/>
        <v/>
      </c>
    </row>
    <row r="16" spans="2:10" ht="14.1" customHeight="1">
      <c r="B16" s="114">
        <v>10</v>
      </c>
      <c r="C16" s="117" t="s">
        <v>374</v>
      </c>
      <c r="D16" s="118" t="s">
        <v>60</v>
      </c>
      <c r="E16" s="91">
        <v>0</v>
      </c>
      <c r="F16" s="91">
        <v>0</v>
      </c>
      <c r="G16" s="119" t="str">
        <f t="shared" si="0"/>
        <v/>
      </c>
    </row>
    <row r="17" spans="2:7" ht="14.1" customHeight="1">
      <c r="B17" s="366">
        <v>11</v>
      </c>
      <c r="C17" s="370" t="s">
        <v>120</v>
      </c>
      <c r="D17" s="371" t="s">
        <v>61</v>
      </c>
      <c r="E17" s="368">
        <f>SUM(E18:E22)</f>
        <v>0</v>
      </c>
      <c r="F17" s="368">
        <f>SUM(F18:F22)</f>
        <v>0</v>
      </c>
      <c r="G17" s="372" t="str">
        <f t="shared" si="0"/>
        <v/>
      </c>
    </row>
    <row r="18" spans="2:7" ht="14.1" customHeight="1">
      <c r="B18" s="114">
        <v>12</v>
      </c>
      <c r="C18" s="117" t="s">
        <v>375</v>
      </c>
      <c r="D18" s="118" t="s">
        <v>62</v>
      </c>
      <c r="E18" s="91">
        <v>0</v>
      </c>
      <c r="F18" s="91">
        <v>0</v>
      </c>
      <c r="G18" s="119" t="str">
        <f t="shared" si="0"/>
        <v/>
      </c>
    </row>
    <row r="19" spans="2:7" ht="14.1" customHeight="1">
      <c r="B19" s="114">
        <v>13</v>
      </c>
      <c r="C19" s="117" t="s">
        <v>376</v>
      </c>
      <c r="D19" s="118" t="s">
        <v>63</v>
      </c>
      <c r="E19" s="91">
        <v>0</v>
      </c>
      <c r="F19" s="91">
        <v>0</v>
      </c>
      <c r="G19" s="119" t="str">
        <f t="shared" si="0"/>
        <v/>
      </c>
    </row>
    <row r="20" spans="2:7" ht="14.1" customHeight="1">
      <c r="B20" s="114">
        <v>14</v>
      </c>
      <c r="C20" s="117" t="s">
        <v>377</v>
      </c>
      <c r="D20" s="118" t="s">
        <v>64</v>
      </c>
      <c r="E20" s="91">
        <v>0</v>
      </c>
      <c r="F20" s="91">
        <v>0</v>
      </c>
      <c r="G20" s="119" t="str">
        <f t="shared" si="0"/>
        <v/>
      </c>
    </row>
    <row r="21" spans="2:7" ht="14.1" customHeight="1">
      <c r="B21" s="114">
        <v>15</v>
      </c>
      <c r="C21" s="117" t="s">
        <v>378</v>
      </c>
      <c r="D21" s="118" t="s">
        <v>65</v>
      </c>
      <c r="E21" s="91">
        <v>0</v>
      </c>
      <c r="F21" s="91">
        <v>0</v>
      </c>
      <c r="G21" s="119" t="str">
        <f t="shared" si="0"/>
        <v/>
      </c>
    </row>
    <row r="22" spans="2:7" ht="14.1" customHeight="1">
      <c r="B22" s="114">
        <v>16</v>
      </c>
      <c r="C22" s="117" t="s">
        <v>379</v>
      </c>
      <c r="D22" s="118" t="s">
        <v>66</v>
      </c>
      <c r="E22" s="91">
        <v>0</v>
      </c>
      <c r="F22" s="91">
        <v>0</v>
      </c>
      <c r="G22" s="119" t="str">
        <f t="shared" si="0"/>
        <v/>
      </c>
    </row>
    <row r="23" spans="2:7" ht="14.1" customHeight="1">
      <c r="B23" s="366">
        <v>17</v>
      </c>
      <c r="C23" s="370" t="s">
        <v>128</v>
      </c>
      <c r="D23" s="371" t="s">
        <v>485</v>
      </c>
      <c r="E23" s="368">
        <f>SUM(E24:E29)</f>
        <v>11420110</v>
      </c>
      <c r="F23" s="368">
        <f>SUM(F24:F29)</f>
        <v>12266980</v>
      </c>
      <c r="G23" s="372">
        <f t="shared" si="0"/>
        <v>107.415602826943</v>
      </c>
    </row>
    <row r="24" spans="2:7" ht="14.1" customHeight="1">
      <c r="B24" s="114">
        <v>18</v>
      </c>
      <c r="C24" s="117" t="s">
        <v>380</v>
      </c>
      <c r="D24" s="118" t="s">
        <v>381</v>
      </c>
      <c r="E24" s="91">
        <f>'8'!J34</f>
        <v>7547570</v>
      </c>
      <c r="F24" s="91">
        <f>'8'!M34</f>
        <v>7810460</v>
      </c>
      <c r="G24" s="119">
        <f t="shared" si="0"/>
        <v>103.48310780820846</v>
      </c>
    </row>
    <row r="25" spans="2:7" ht="14.1" customHeight="1">
      <c r="B25" s="114">
        <v>19</v>
      </c>
      <c r="C25" s="117" t="s">
        <v>382</v>
      </c>
      <c r="D25" s="118" t="s">
        <v>486</v>
      </c>
      <c r="E25" s="91">
        <f>'33'!J38</f>
        <v>452650</v>
      </c>
      <c r="F25" s="91">
        <f>'33'!M38</f>
        <v>889190</v>
      </c>
      <c r="G25" s="119">
        <f t="shared" si="0"/>
        <v>196.44095879818843</v>
      </c>
    </row>
    <row r="26" spans="2:7" ht="14.1" customHeight="1">
      <c r="B26" s="114">
        <v>20</v>
      </c>
      <c r="C26" s="117" t="s">
        <v>383</v>
      </c>
      <c r="D26" s="118" t="s">
        <v>384</v>
      </c>
      <c r="E26" s="91">
        <f>'10'!J34+'11'!J33+'12'!J33+'13'!J33+'34'!J33+'35'!J33+'36'!J33</f>
        <v>3129910</v>
      </c>
      <c r="F26" s="91">
        <f>'10'!M34+'11'!M33+'12'!M33+'13'!M33+'34'!M33+'35'!M33+'36'!M33</f>
        <v>3268890</v>
      </c>
      <c r="G26" s="119">
        <f t="shared" si="0"/>
        <v>104.44038326980647</v>
      </c>
    </row>
    <row r="27" spans="2:7" ht="14.1" customHeight="1">
      <c r="B27" s="114">
        <v>21</v>
      </c>
      <c r="C27" s="117" t="s">
        <v>385</v>
      </c>
      <c r="D27" s="118" t="s">
        <v>386</v>
      </c>
      <c r="E27" s="91">
        <v>0</v>
      </c>
      <c r="F27" s="91">
        <v>0</v>
      </c>
      <c r="G27" s="119" t="str">
        <f t="shared" si="0"/>
        <v/>
      </c>
    </row>
    <row r="28" spans="2:7" ht="14.1" customHeight="1">
      <c r="B28" s="114">
        <v>22</v>
      </c>
      <c r="C28" s="117" t="s">
        <v>387</v>
      </c>
      <c r="D28" s="118" t="s">
        <v>388</v>
      </c>
      <c r="E28" s="91">
        <v>0</v>
      </c>
      <c r="F28" s="91">
        <v>0</v>
      </c>
      <c r="G28" s="119" t="str">
        <f t="shared" si="0"/>
        <v/>
      </c>
    </row>
    <row r="29" spans="2:7" ht="14.1" customHeight="1">
      <c r="B29" s="114">
        <v>23</v>
      </c>
      <c r="C29" s="117" t="s">
        <v>389</v>
      </c>
      <c r="D29" s="118" t="s">
        <v>390</v>
      </c>
      <c r="E29" s="91">
        <f>'9'!J35</f>
        <v>289980</v>
      </c>
      <c r="F29" s="91">
        <f>'9'!M35</f>
        <v>298440</v>
      </c>
      <c r="G29" s="119">
        <f t="shared" si="0"/>
        <v>102.91744258224705</v>
      </c>
    </row>
    <row r="30" spans="2:7" ht="14.1" customHeight="1">
      <c r="B30" s="366">
        <v>24</v>
      </c>
      <c r="C30" s="370" t="s">
        <v>391</v>
      </c>
      <c r="D30" s="371" t="s">
        <v>392</v>
      </c>
      <c r="E30" s="368">
        <f>SUM(E31:E39)</f>
        <v>7257450</v>
      </c>
      <c r="F30" s="368">
        <f>SUM(F31:F39)</f>
        <v>8430960</v>
      </c>
      <c r="G30" s="372">
        <f t="shared" si="0"/>
        <v>116.16972903705846</v>
      </c>
    </row>
    <row r="31" spans="2:7" ht="14.1" customHeight="1">
      <c r="B31" s="114">
        <v>25</v>
      </c>
      <c r="C31" s="117" t="s">
        <v>393</v>
      </c>
      <c r="D31" s="118" t="s">
        <v>394</v>
      </c>
      <c r="E31" s="91">
        <v>0</v>
      </c>
      <c r="F31" s="91">
        <v>0</v>
      </c>
      <c r="G31" s="119" t="str">
        <f t="shared" si="0"/>
        <v/>
      </c>
    </row>
    <row r="32" spans="2:7" ht="14.1" customHeight="1">
      <c r="B32" s="114">
        <v>26</v>
      </c>
      <c r="C32" s="117" t="s">
        <v>395</v>
      </c>
      <c r="D32" s="118" t="s">
        <v>396</v>
      </c>
      <c r="E32" s="91">
        <f>'19'!J43</f>
        <v>2532740</v>
      </c>
      <c r="F32" s="91">
        <f>'19'!M43</f>
        <v>3144090</v>
      </c>
      <c r="G32" s="119">
        <f t="shared" si="0"/>
        <v>124.13789019007085</v>
      </c>
    </row>
    <row r="33" spans="2:7" ht="14.1" customHeight="1">
      <c r="B33" s="114">
        <v>27</v>
      </c>
      <c r="C33" s="117" t="s">
        <v>397</v>
      </c>
      <c r="D33" s="118" t="s">
        <v>398</v>
      </c>
      <c r="E33" s="91">
        <v>0</v>
      </c>
      <c r="F33" s="91">
        <v>0</v>
      </c>
      <c r="G33" s="119" t="str">
        <f t="shared" si="0"/>
        <v/>
      </c>
    </row>
    <row r="34" spans="2:7" ht="14.1" customHeight="1">
      <c r="B34" s="114">
        <v>28</v>
      </c>
      <c r="C34" s="117" t="s">
        <v>399</v>
      </c>
      <c r="D34" s="118" t="s">
        <v>400</v>
      </c>
      <c r="E34" s="91">
        <v>0</v>
      </c>
      <c r="F34" s="91">
        <v>0</v>
      </c>
      <c r="G34" s="119" t="str">
        <f t="shared" si="0"/>
        <v/>
      </c>
    </row>
    <row r="35" spans="2:7" ht="14.1" customHeight="1">
      <c r="B35" s="114">
        <v>29</v>
      </c>
      <c r="C35" s="117" t="s">
        <v>401</v>
      </c>
      <c r="D35" s="118" t="s">
        <v>67</v>
      </c>
      <c r="E35" s="91">
        <v>0</v>
      </c>
      <c r="F35" s="91">
        <v>0</v>
      </c>
      <c r="G35" s="119" t="str">
        <f t="shared" si="0"/>
        <v/>
      </c>
    </row>
    <row r="36" spans="2:7" ht="14.1" customHeight="1">
      <c r="B36" s="114">
        <v>30</v>
      </c>
      <c r="C36" s="117" t="s">
        <v>402</v>
      </c>
      <c r="D36" s="118" t="s">
        <v>403</v>
      </c>
      <c r="E36" s="91">
        <v>0</v>
      </c>
      <c r="F36" s="91">
        <v>0</v>
      </c>
      <c r="G36" s="119" t="str">
        <f t="shared" si="0"/>
        <v/>
      </c>
    </row>
    <row r="37" spans="2:7" ht="14.1" customHeight="1">
      <c r="B37" s="114">
        <v>31</v>
      </c>
      <c r="C37" s="117" t="s">
        <v>404</v>
      </c>
      <c r="D37" s="118" t="s">
        <v>405</v>
      </c>
      <c r="E37" s="91">
        <v>0</v>
      </c>
      <c r="F37" s="91">
        <v>0</v>
      </c>
      <c r="G37" s="119" t="str">
        <f t="shared" si="0"/>
        <v/>
      </c>
    </row>
    <row r="38" spans="2:7" ht="14.1" customHeight="1">
      <c r="B38" s="114">
        <v>32</v>
      </c>
      <c r="C38" s="117" t="s">
        <v>406</v>
      </c>
      <c r="D38" s="118" t="s">
        <v>407</v>
      </c>
      <c r="E38" s="91">
        <v>0</v>
      </c>
      <c r="F38" s="91">
        <v>0</v>
      </c>
      <c r="G38" s="119" t="str">
        <f t="shared" si="0"/>
        <v/>
      </c>
    </row>
    <row r="39" spans="2:7" ht="14.1" customHeight="1">
      <c r="B39" s="114">
        <v>33</v>
      </c>
      <c r="C39" s="117" t="s">
        <v>408</v>
      </c>
      <c r="D39" s="118" t="s">
        <v>409</v>
      </c>
      <c r="E39" s="91">
        <f>'15'!J41+'18'!J39+'32'!J33+'37'!J33</f>
        <v>4724710</v>
      </c>
      <c r="F39" s="91">
        <f>'15'!M41+'18'!M39+'32'!M33+'37'!M33</f>
        <v>5286870</v>
      </c>
      <c r="G39" s="119">
        <f t="shared" si="0"/>
        <v>111.89829640337715</v>
      </c>
    </row>
    <row r="40" spans="2:7" ht="14.1" customHeight="1">
      <c r="B40" s="366">
        <v>34</v>
      </c>
      <c r="C40" s="370" t="s">
        <v>121</v>
      </c>
      <c r="D40" s="371" t="s">
        <v>410</v>
      </c>
      <c r="E40" s="368">
        <f>SUM(E41:E46)</f>
        <v>0</v>
      </c>
      <c r="F40" s="368">
        <f>SUM(F41:F46)</f>
        <v>0</v>
      </c>
      <c r="G40" s="372" t="str">
        <f t="shared" si="0"/>
        <v/>
      </c>
    </row>
    <row r="41" spans="2:7" ht="14.1" customHeight="1">
      <c r="B41" s="114">
        <v>35</v>
      </c>
      <c r="C41" s="117" t="s">
        <v>411</v>
      </c>
      <c r="D41" s="118" t="s">
        <v>412</v>
      </c>
      <c r="E41" s="91">
        <v>0</v>
      </c>
      <c r="F41" s="91">
        <v>0</v>
      </c>
      <c r="G41" s="119" t="str">
        <f t="shared" si="0"/>
        <v/>
      </c>
    </row>
    <row r="42" spans="2:7" ht="14.1" customHeight="1">
      <c r="B42" s="114">
        <v>36</v>
      </c>
      <c r="C42" s="117" t="s">
        <v>413</v>
      </c>
      <c r="D42" s="118" t="s">
        <v>414</v>
      </c>
      <c r="E42" s="91">
        <v>0</v>
      </c>
      <c r="F42" s="91">
        <v>0</v>
      </c>
      <c r="G42" s="119" t="str">
        <f t="shared" si="0"/>
        <v/>
      </c>
    </row>
    <row r="43" spans="2:7" ht="14.1" customHeight="1">
      <c r="B43" s="114">
        <v>37</v>
      </c>
      <c r="C43" s="117" t="s">
        <v>415</v>
      </c>
      <c r="D43" s="118" t="s">
        <v>416</v>
      </c>
      <c r="E43" s="91">
        <v>0</v>
      </c>
      <c r="F43" s="91">
        <v>0</v>
      </c>
      <c r="G43" s="119" t="str">
        <f t="shared" si="0"/>
        <v/>
      </c>
    </row>
    <row r="44" spans="2:7" ht="14.1" customHeight="1">
      <c r="B44" s="114">
        <v>38</v>
      </c>
      <c r="C44" s="117" t="s">
        <v>417</v>
      </c>
      <c r="D44" s="118" t="s">
        <v>68</v>
      </c>
      <c r="E44" s="91">
        <v>0</v>
      </c>
      <c r="F44" s="91">
        <v>0</v>
      </c>
      <c r="G44" s="119" t="str">
        <f t="shared" si="0"/>
        <v/>
      </c>
    </row>
    <row r="45" spans="2:7" ht="14.1" customHeight="1">
      <c r="B45" s="114">
        <v>39</v>
      </c>
      <c r="C45" s="117" t="s">
        <v>418</v>
      </c>
      <c r="D45" s="118" t="s">
        <v>56</v>
      </c>
      <c r="E45" s="91">
        <v>0</v>
      </c>
      <c r="F45" s="91">
        <v>0</v>
      </c>
      <c r="G45" s="119" t="str">
        <f t="shared" si="0"/>
        <v/>
      </c>
    </row>
    <row r="46" spans="2:7" ht="14.1" customHeight="1">
      <c r="B46" s="114">
        <v>40</v>
      </c>
      <c r="C46" s="117" t="s">
        <v>419</v>
      </c>
      <c r="D46" s="118" t="s">
        <v>420</v>
      </c>
      <c r="E46" s="91">
        <v>0</v>
      </c>
      <c r="F46" s="91">
        <v>0</v>
      </c>
      <c r="G46" s="119" t="str">
        <f t="shared" si="0"/>
        <v/>
      </c>
    </row>
    <row r="47" spans="2:7" ht="14.1" customHeight="1">
      <c r="B47" s="366">
        <v>41</v>
      </c>
      <c r="C47" s="370" t="s">
        <v>161</v>
      </c>
      <c r="D47" s="371" t="s">
        <v>421</v>
      </c>
      <c r="E47" s="368">
        <f>SUM(E48:E53)</f>
        <v>0</v>
      </c>
      <c r="F47" s="368">
        <f>SUM(F48:F53)</f>
        <v>0</v>
      </c>
      <c r="G47" s="372" t="str">
        <f t="shared" si="0"/>
        <v/>
      </c>
    </row>
    <row r="48" spans="2:7" ht="14.1" customHeight="1">
      <c r="B48" s="114">
        <v>42</v>
      </c>
      <c r="C48" s="117" t="s">
        <v>422</v>
      </c>
      <c r="D48" s="118" t="s">
        <v>423</v>
      </c>
      <c r="E48" s="91">
        <v>0</v>
      </c>
      <c r="F48" s="91">
        <v>0</v>
      </c>
      <c r="G48" s="119" t="str">
        <f t="shared" si="0"/>
        <v/>
      </c>
    </row>
    <row r="49" spans="2:7" ht="14.1" customHeight="1">
      <c r="B49" s="114">
        <v>43</v>
      </c>
      <c r="C49" s="117" t="s">
        <v>424</v>
      </c>
      <c r="D49" s="118" t="s">
        <v>425</v>
      </c>
      <c r="E49" s="91">
        <v>0</v>
      </c>
      <c r="F49" s="91">
        <v>0</v>
      </c>
      <c r="G49" s="119" t="str">
        <f t="shared" si="0"/>
        <v/>
      </c>
    </row>
    <row r="50" spans="2:7" ht="14.1" customHeight="1">
      <c r="B50" s="114">
        <v>44</v>
      </c>
      <c r="C50" s="117" t="s">
        <v>426</v>
      </c>
      <c r="D50" s="118" t="s">
        <v>69</v>
      </c>
      <c r="E50" s="91">
        <v>0</v>
      </c>
      <c r="F50" s="91">
        <v>0</v>
      </c>
      <c r="G50" s="119" t="str">
        <f t="shared" si="0"/>
        <v/>
      </c>
    </row>
    <row r="51" spans="2:7" ht="14.1" customHeight="1">
      <c r="B51" s="114">
        <v>45</v>
      </c>
      <c r="C51" s="117" t="s">
        <v>427</v>
      </c>
      <c r="D51" s="118" t="s">
        <v>428</v>
      </c>
      <c r="E51" s="91">
        <v>0</v>
      </c>
      <c r="F51" s="91">
        <v>0</v>
      </c>
      <c r="G51" s="119" t="str">
        <f t="shared" si="0"/>
        <v/>
      </c>
    </row>
    <row r="52" spans="2:7" ht="14.1" customHeight="1">
      <c r="B52" s="114">
        <v>46</v>
      </c>
      <c r="C52" s="117" t="s">
        <v>429</v>
      </c>
      <c r="D52" s="118" t="s">
        <v>430</v>
      </c>
      <c r="E52" s="91">
        <v>0</v>
      </c>
      <c r="F52" s="91">
        <v>0</v>
      </c>
      <c r="G52" s="119" t="str">
        <f t="shared" si="0"/>
        <v/>
      </c>
    </row>
    <row r="53" spans="2:7" ht="14.1" customHeight="1">
      <c r="B53" s="114">
        <v>47</v>
      </c>
      <c r="C53" s="117" t="s">
        <v>431</v>
      </c>
      <c r="D53" s="118" t="s">
        <v>432</v>
      </c>
      <c r="E53" s="91">
        <v>0</v>
      </c>
      <c r="F53" s="91">
        <v>0</v>
      </c>
      <c r="G53" s="119" t="str">
        <f t="shared" si="0"/>
        <v/>
      </c>
    </row>
    <row r="54" spans="2:7" ht="14.1" customHeight="1">
      <c r="B54" s="366">
        <v>48</v>
      </c>
      <c r="C54" s="370" t="s">
        <v>433</v>
      </c>
      <c r="D54" s="371" t="s">
        <v>434</v>
      </c>
      <c r="E54" s="368">
        <f>SUM(E55:E60)</f>
        <v>0</v>
      </c>
      <c r="F54" s="368">
        <f>SUM(F55:F60)</f>
        <v>0</v>
      </c>
      <c r="G54" s="372" t="str">
        <f t="shared" si="0"/>
        <v/>
      </c>
    </row>
    <row r="55" spans="2:7" ht="14.1" customHeight="1">
      <c r="B55" s="114">
        <v>49</v>
      </c>
      <c r="C55" s="117" t="s">
        <v>435</v>
      </c>
      <c r="D55" s="118" t="s">
        <v>436</v>
      </c>
      <c r="E55" s="91">
        <v>0</v>
      </c>
      <c r="F55" s="91">
        <v>0</v>
      </c>
      <c r="G55" s="119" t="str">
        <f t="shared" si="0"/>
        <v/>
      </c>
    </row>
    <row r="56" spans="2:7" ht="14.1" customHeight="1">
      <c r="B56" s="114">
        <v>50</v>
      </c>
      <c r="C56" s="117" t="s">
        <v>437</v>
      </c>
      <c r="D56" s="118" t="s">
        <v>70</v>
      </c>
      <c r="E56" s="91">
        <v>0</v>
      </c>
      <c r="F56" s="91">
        <v>0</v>
      </c>
      <c r="G56" s="119" t="str">
        <f t="shared" si="0"/>
        <v/>
      </c>
    </row>
    <row r="57" spans="2:7" ht="14.1" customHeight="1">
      <c r="B57" s="114">
        <v>51</v>
      </c>
      <c r="C57" s="117" t="s">
        <v>0</v>
      </c>
      <c r="D57" s="118" t="s">
        <v>1</v>
      </c>
      <c r="E57" s="91">
        <v>0</v>
      </c>
      <c r="F57" s="91">
        <v>0</v>
      </c>
      <c r="G57" s="119" t="str">
        <f t="shared" si="0"/>
        <v/>
      </c>
    </row>
    <row r="58" spans="2:7" ht="14.1" customHeight="1">
      <c r="B58" s="114">
        <v>52</v>
      </c>
      <c r="C58" s="117" t="s">
        <v>2</v>
      </c>
      <c r="D58" s="118" t="s">
        <v>3</v>
      </c>
      <c r="E58" s="91">
        <v>0</v>
      </c>
      <c r="F58" s="91">
        <v>0</v>
      </c>
      <c r="G58" s="119" t="str">
        <f t="shared" si="0"/>
        <v/>
      </c>
    </row>
    <row r="59" spans="2:7" ht="14.1" customHeight="1">
      <c r="B59" s="114">
        <v>53</v>
      </c>
      <c r="C59" s="117" t="s">
        <v>4</v>
      </c>
      <c r="D59" s="118" t="s">
        <v>5</v>
      </c>
      <c r="E59" s="91">
        <v>0</v>
      </c>
      <c r="F59" s="91">
        <v>0</v>
      </c>
      <c r="G59" s="119" t="str">
        <f t="shared" si="0"/>
        <v/>
      </c>
    </row>
    <row r="60" spans="2:7" ht="14.1" customHeight="1">
      <c r="B60" s="114">
        <v>54</v>
      </c>
      <c r="C60" s="117" t="s">
        <v>6</v>
      </c>
      <c r="D60" s="118" t="s">
        <v>7</v>
      </c>
      <c r="E60" s="91">
        <v>0</v>
      </c>
      <c r="F60" s="91">
        <v>0</v>
      </c>
      <c r="G60" s="119" t="str">
        <f t="shared" si="0"/>
        <v/>
      </c>
    </row>
    <row r="61" spans="2:7">
      <c r="B61" s="366">
        <v>55</v>
      </c>
      <c r="C61" s="370" t="s">
        <v>8</v>
      </c>
      <c r="D61" s="371" t="s">
        <v>9</v>
      </c>
      <c r="E61" s="368">
        <f>SUM(E62:E67)</f>
        <v>960000</v>
      </c>
      <c r="F61" s="368">
        <f>SUM(F62:F67)</f>
        <v>940000</v>
      </c>
      <c r="G61" s="372">
        <f t="shared" si="0"/>
        <v>97.916666666666657</v>
      </c>
    </row>
    <row r="62" spans="2:7">
      <c r="B62" s="114">
        <v>56</v>
      </c>
      <c r="C62" s="117" t="s">
        <v>10</v>
      </c>
      <c r="D62" s="118" t="s">
        <v>623</v>
      </c>
      <c r="E62" s="91">
        <f>'20'!J38</f>
        <v>310000</v>
      </c>
      <c r="F62" s="91">
        <f>'20'!M38</f>
        <v>320000</v>
      </c>
      <c r="G62" s="120">
        <f t="shared" si="0"/>
        <v>103.2258064516129</v>
      </c>
    </row>
    <row r="63" spans="2:7">
      <c r="B63" s="114">
        <v>57</v>
      </c>
      <c r="C63" s="117" t="s">
        <v>11</v>
      </c>
      <c r="D63" s="118" t="s">
        <v>12</v>
      </c>
      <c r="E63" s="91">
        <f>'20'!J39</f>
        <v>80000</v>
      </c>
      <c r="F63" s="91">
        <f>'20'!M39</f>
        <v>120000</v>
      </c>
      <c r="G63" s="120">
        <f t="shared" si="0"/>
        <v>150</v>
      </c>
    </row>
    <row r="64" spans="2:7">
      <c r="B64" s="114">
        <v>58</v>
      </c>
      <c r="C64" s="117" t="s">
        <v>13</v>
      </c>
      <c r="D64" s="118" t="s">
        <v>71</v>
      </c>
      <c r="E64" s="91">
        <f>'20'!J36</f>
        <v>320000</v>
      </c>
      <c r="F64" s="91">
        <f>'20'!M36</f>
        <v>220000</v>
      </c>
      <c r="G64" s="120">
        <f t="shared" si="0"/>
        <v>68.75</v>
      </c>
    </row>
    <row r="65" spans="2:7">
      <c r="B65" s="114">
        <v>59</v>
      </c>
      <c r="C65" s="117" t="s">
        <v>14</v>
      </c>
      <c r="D65" s="118" t="s">
        <v>57</v>
      </c>
      <c r="E65" s="91">
        <f>'20'!J37</f>
        <v>250000</v>
      </c>
      <c r="F65" s="91">
        <f>'20'!M37</f>
        <v>280000</v>
      </c>
      <c r="G65" s="120">
        <f t="shared" si="0"/>
        <v>112.00000000000001</v>
      </c>
    </row>
    <row r="66" spans="2:7">
      <c r="B66" s="114">
        <v>60</v>
      </c>
      <c r="C66" s="117" t="s">
        <v>15</v>
      </c>
      <c r="D66" s="118" t="s">
        <v>16</v>
      </c>
      <c r="E66" s="91">
        <v>0</v>
      </c>
      <c r="F66" s="91">
        <v>0</v>
      </c>
      <c r="G66" s="120" t="str">
        <f t="shared" si="0"/>
        <v/>
      </c>
    </row>
    <row r="67" spans="2:7">
      <c r="B67" s="114">
        <v>61</v>
      </c>
      <c r="C67" s="117" t="s">
        <v>17</v>
      </c>
      <c r="D67" s="118" t="s">
        <v>18</v>
      </c>
      <c r="E67" s="91">
        <v>0</v>
      </c>
      <c r="F67" s="91">
        <v>0</v>
      </c>
      <c r="G67" s="120" t="str">
        <f t="shared" si="0"/>
        <v/>
      </c>
    </row>
    <row r="68" spans="2:7">
      <c r="B68" s="366">
        <v>62</v>
      </c>
      <c r="C68" s="370" t="s">
        <v>19</v>
      </c>
      <c r="D68" s="371" t="s">
        <v>20</v>
      </c>
      <c r="E68" s="368">
        <f>SUM(E69:E76)</f>
        <v>13818410</v>
      </c>
      <c r="F68" s="368">
        <f>SUM(F69:F76)</f>
        <v>14571420</v>
      </c>
      <c r="G68" s="372">
        <f t="shared" si="0"/>
        <v>105.44932448812851</v>
      </c>
    </row>
    <row r="69" spans="2:7">
      <c r="B69" s="114">
        <v>63</v>
      </c>
      <c r="C69" s="117" t="s">
        <v>21</v>
      </c>
      <c r="D69" s="118" t="s">
        <v>22</v>
      </c>
      <c r="E69" s="91">
        <f>'24'!J33+'25'!J33+'26'!J33+'27'!J33+'28'!J33+'29'!J33+'30'!J33+'20'!J21+15000</f>
        <v>8541470</v>
      </c>
      <c r="F69" s="91">
        <f>'24'!M33+'25'!M33+'26'!M33+'27'!M33+'28'!M33+'29'!M33+'30'!M33+'20'!K21+15000</f>
        <v>9113220</v>
      </c>
      <c r="G69" s="120">
        <f t="shared" si="0"/>
        <v>106.69381265754021</v>
      </c>
    </row>
    <row r="70" spans="2:7">
      <c r="B70" s="114">
        <v>64</v>
      </c>
      <c r="C70" s="117" t="s">
        <v>23</v>
      </c>
      <c r="D70" s="118" t="s">
        <v>24</v>
      </c>
      <c r="E70" s="91">
        <f>'21'!J33+'22'!J33+'23'!J33</f>
        <v>3883590</v>
      </c>
      <c r="F70" s="91">
        <f>'21'!M33+'22'!M33+'23'!M33+5000</f>
        <v>4104450</v>
      </c>
      <c r="G70" s="120">
        <f t="shared" si="0"/>
        <v>105.68700609487614</v>
      </c>
    </row>
    <row r="71" spans="2:7">
      <c r="B71" s="114">
        <v>65</v>
      </c>
      <c r="C71" s="117" t="s">
        <v>25</v>
      </c>
      <c r="D71" s="118" t="s">
        <v>26</v>
      </c>
      <c r="E71" s="91">
        <v>0</v>
      </c>
      <c r="F71" s="91">
        <v>0</v>
      </c>
      <c r="G71" s="120" t="str">
        <f t="shared" si="0"/>
        <v/>
      </c>
    </row>
    <row r="72" spans="2:7">
      <c r="B72" s="114">
        <v>66</v>
      </c>
      <c r="C72" s="117" t="s">
        <v>27</v>
      </c>
      <c r="D72" s="118" t="s">
        <v>28</v>
      </c>
      <c r="E72" s="91">
        <f>'20'!J32+'20'!J34</f>
        <v>282000</v>
      </c>
      <c r="F72" s="91">
        <f>'20'!M32+'20'!M34</f>
        <v>315000</v>
      </c>
      <c r="G72" s="120">
        <f t="shared" si="0"/>
        <v>111.70212765957446</v>
      </c>
    </row>
    <row r="73" spans="2:7">
      <c r="B73" s="114">
        <v>67</v>
      </c>
      <c r="C73" s="117" t="s">
        <v>29</v>
      </c>
      <c r="D73" s="118" t="s">
        <v>72</v>
      </c>
      <c r="E73" s="91">
        <v>0</v>
      </c>
      <c r="F73" s="91">
        <v>0</v>
      </c>
      <c r="G73" s="120" t="str">
        <f t="shared" si="0"/>
        <v/>
      </c>
    </row>
    <row r="74" spans="2:7">
      <c r="B74" s="114">
        <v>68</v>
      </c>
      <c r="C74" s="117" t="s">
        <v>30</v>
      </c>
      <c r="D74" s="118" t="s">
        <v>31</v>
      </c>
      <c r="E74" s="91">
        <v>0</v>
      </c>
      <c r="F74" s="91">
        <v>0</v>
      </c>
      <c r="G74" s="120" t="str">
        <f t="shared" ref="G74:G86" si="1">IF(E74=0,"",F74/E74*100)</f>
        <v/>
      </c>
    </row>
    <row r="75" spans="2:7">
      <c r="B75" s="114">
        <v>69</v>
      </c>
      <c r="C75" s="117" t="s">
        <v>32</v>
      </c>
      <c r="D75" s="118" t="s">
        <v>33</v>
      </c>
      <c r="E75" s="91">
        <v>0</v>
      </c>
      <c r="F75" s="91">
        <v>0</v>
      </c>
      <c r="G75" s="120" t="str">
        <f t="shared" si="1"/>
        <v/>
      </c>
    </row>
    <row r="76" spans="2:7">
      <c r="B76" s="114">
        <v>70</v>
      </c>
      <c r="C76" s="117" t="s">
        <v>34</v>
      </c>
      <c r="D76" s="118" t="s">
        <v>35</v>
      </c>
      <c r="E76" s="91">
        <f>'20'!J46-'20'!J32-'20'!J34-'20'!J35-'20'!J36-'20'!J37-'20'!J38-'20'!J39-'20'!J21</f>
        <v>1111350</v>
      </c>
      <c r="F76" s="91">
        <f>'20'!M46-'20'!M32-'20'!M34-'20'!M35-'20'!M36-'20'!M37-'20'!M38-'20'!M39-'20'!K21</f>
        <v>1038750</v>
      </c>
      <c r="G76" s="120">
        <f t="shared" si="1"/>
        <v>93.467404508030768</v>
      </c>
    </row>
    <row r="77" spans="2:7">
      <c r="B77" s="366">
        <v>71</v>
      </c>
      <c r="C77" s="370" t="s">
        <v>36</v>
      </c>
      <c r="D77" s="367" t="s">
        <v>37</v>
      </c>
      <c r="E77" s="368">
        <f>SUM(E78:E86)</f>
        <v>7184820</v>
      </c>
      <c r="F77" s="368">
        <f>SUM(F78:F86)</f>
        <v>6937300</v>
      </c>
      <c r="G77" s="372">
        <f t="shared" si="1"/>
        <v>96.554958927293939</v>
      </c>
    </row>
    <row r="78" spans="2:7">
      <c r="B78" s="114">
        <v>72</v>
      </c>
      <c r="C78" s="117" t="s">
        <v>38</v>
      </c>
      <c r="D78" s="118" t="s">
        <v>39</v>
      </c>
      <c r="E78" s="91">
        <v>0</v>
      </c>
      <c r="F78" s="91">
        <v>0</v>
      </c>
      <c r="G78" s="120" t="str">
        <f t="shared" si="1"/>
        <v/>
      </c>
    </row>
    <row r="79" spans="2:7">
      <c r="B79" s="114">
        <v>73</v>
      </c>
      <c r="C79" s="117" t="s">
        <v>40</v>
      </c>
      <c r="D79" s="118" t="s">
        <v>41</v>
      </c>
      <c r="E79" s="91">
        <v>0</v>
      </c>
      <c r="F79" s="91">
        <v>0</v>
      </c>
      <c r="G79" s="120" t="str">
        <f t="shared" si="1"/>
        <v/>
      </c>
    </row>
    <row r="80" spans="2:7">
      <c r="B80" s="114">
        <v>74</v>
      </c>
      <c r="C80" s="117" t="s">
        <v>42</v>
      </c>
      <c r="D80" s="118" t="s">
        <v>43</v>
      </c>
      <c r="E80" s="91">
        <v>0</v>
      </c>
      <c r="F80" s="91">
        <v>0</v>
      </c>
      <c r="G80" s="120" t="str">
        <f t="shared" si="1"/>
        <v/>
      </c>
    </row>
    <row r="81" spans="2:7">
      <c r="B81" s="114">
        <v>75</v>
      </c>
      <c r="C81" s="117" t="s">
        <v>44</v>
      </c>
      <c r="D81" s="118" t="s">
        <v>73</v>
      </c>
      <c r="E81" s="91">
        <v>0</v>
      </c>
      <c r="F81" s="91">
        <v>0</v>
      </c>
      <c r="G81" s="120" t="str">
        <f t="shared" si="1"/>
        <v/>
      </c>
    </row>
    <row r="82" spans="2:7">
      <c r="B82" s="114">
        <v>76</v>
      </c>
      <c r="C82" s="117" t="s">
        <v>45</v>
      </c>
      <c r="D82" s="118" t="s">
        <v>74</v>
      </c>
      <c r="E82" s="91">
        <v>0</v>
      </c>
      <c r="F82" s="91">
        <v>0</v>
      </c>
      <c r="G82" s="120" t="str">
        <f t="shared" si="1"/>
        <v/>
      </c>
    </row>
    <row r="83" spans="2:7">
      <c r="B83" s="114">
        <v>77</v>
      </c>
      <c r="C83" s="117" t="s">
        <v>46</v>
      </c>
      <c r="D83" s="118" t="s">
        <v>47</v>
      </c>
      <c r="E83" s="91">
        <v>0</v>
      </c>
      <c r="F83" s="91">
        <v>0</v>
      </c>
      <c r="G83" s="120" t="str">
        <f t="shared" si="1"/>
        <v/>
      </c>
    </row>
    <row r="84" spans="2:7">
      <c r="B84" s="114">
        <v>78</v>
      </c>
      <c r="C84" s="117" t="s">
        <v>48</v>
      </c>
      <c r="D84" s="118" t="s">
        <v>49</v>
      </c>
      <c r="E84" s="91">
        <v>0</v>
      </c>
      <c r="F84" s="91">
        <v>0</v>
      </c>
      <c r="G84" s="120" t="str">
        <f t="shared" si="1"/>
        <v/>
      </c>
    </row>
    <row r="85" spans="2:7">
      <c r="B85" s="114">
        <v>79</v>
      </c>
      <c r="C85" s="117" t="s">
        <v>50</v>
      </c>
      <c r="D85" s="118" t="s">
        <v>51</v>
      </c>
      <c r="E85" s="91">
        <v>0</v>
      </c>
      <c r="F85" s="91">
        <v>0</v>
      </c>
      <c r="G85" s="120" t="str">
        <f t="shared" si="1"/>
        <v/>
      </c>
    </row>
    <row r="86" spans="2:7">
      <c r="B86" s="114">
        <v>80</v>
      </c>
      <c r="C86" s="117" t="s">
        <v>52</v>
      </c>
      <c r="D86" s="118" t="s">
        <v>53</v>
      </c>
      <c r="E86" s="91">
        <f>'17'!J39+'31'!J36</f>
        <v>7184820</v>
      </c>
      <c r="F86" s="91">
        <f>'17'!M39+'31'!M36</f>
        <v>6937300</v>
      </c>
      <c r="G86" s="120">
        <f t="shared" si="1"/>
        <v>96.554958927293939</v>
      </c>
    </row>
    <row r="87" spans="2:7">
      <c r="B87" s="56"/>
      <c r="C87" s="56"/>
      <c r="D87" s="56"/>
      <c r="E87" s="56"/>
      <c r="F87" s="56"/>
      <c r="G87" s="56"/>
    </row>
    <row r="88" spans="2:7">
      <c r="B88" s="56"/>
      <c r="C88" s="56"/>
      <c r="D88" s="56"/>
      <c r="E88" s="56"/>
      <c r="F88" s="56"/>
      <c r="G88" s="56"/>
    </row>
    <row r="89" spans="2:7">
      <c r="B89" s="56"/>
      <c r="C89" s="56"/>
      <c r="D89" s="56"/>
      <c r="E89" s="56"/>
      <c r="F89" s="56"/>
      <c r="G89" s="56"/>
    </row>
    <row r="90" spans="2:7">
      <c r="B90" s="56"/>
      <c r="C90" s="56"/>
      <c r="D90" s="56"/>
      <c r="E90" s="56"/>
      <c r="F90" s="56"/>
      <c r="G90" s="56"/>
    </row>
    <row r="91" spans="2:7">
      <c r="B91" s="56"/>
      <c r="C91" s="56"/>
      <c r="D91" s="56"/>
      <c r="E91" s="56"/>
      <c r="F91" s="56"/>
      <c r="G91" s="56"/>
    </row>
    <row r="92" spans="2:7">
      <c r="B92" s="56"/>
      <c r="C92" s="56"/>
      <c r="D92" s="56"/>
      <c r="E92" s="56"/>
      <c r="F92" s="56"/>
      <c r="G92" s="56"/>
    </row>
    <row r="93" spans="2:7">
      <c r="B93" s="56"/>
      <c r="C93" s="56"/>
      <c r="D93" s="56"/>
      <c r="E93" s="56"/>
      <c r="F93" s="56"/>
      <c r="G93" s="56"/>
    </row>
    <row r="94" spans="2:7">
      <c r="B94" s="56"/>
      <c r="C94" s="56"/>
      <c r="D94" s="56"/>
      <c r="E94" s="56"/>
      <c r="F94" s="56"/>
      <c r="G94" s="56"/>
    </row>
    <row r="95" spans="2:7">
      <c r="B95" s="56"/>
      <c r="C95" s="56"/>
      <c r="D95" s="56"/>
      <c r="E95" s="56"/>
      <c r="F95" s="56"/>
      <c r="G95" s="56"/>
    </row>
    <row r="96" spans="2:7">
      <c r="B96" s="56"/>
      <c r="C96" s="56"/>
      <c r="D96" s="56"/>
      <c r="E96" s="56"/>
      <c r="F96" s="56"/>
      <c r="G96" s="56"/>
    </row>
    <row r="97" spans="2:7">
      <c r="B97" s="56"/>
      <c r="C97" s="56"/>
      <c r="D97" s="56"/>
      <c r="E97" s="56"/>
      <c r="F97" s="56"/>
      <c r="G97" s="56"/>
    </row>
    <row r="98" spans="2:7">
      <c r="B98" s="56"/>
      <c r="C98" s="56"/>
      <c r="D98" s="56"/>
      <c r="E98" s="56"/>
      <c r="F98" s="56"/>
      <c r="G98" s="56"/>
    </row>
    <row r="99" spans="2:7">
      <c r="B99" s="56"/>
      <c r="C99" s="56"/>
      <c r="D99" s="56"/>
      <c r="E99" s="56"/>
      <c r="F99" s="56"/>
      <c r="G99" s="56"/>
    </row>
    <row r="100" spans="2:7">
      <c r="B100" s="56"/>
      <c r="C100" s="56"/>
      <c r="D100" s="56"/>
      <c r="E100" s="56"/>
      <c r="F100" s="56"/>
      <c r="G100" s="56"/>
    </row>
    <row r="101" spans="2:7">
      <c r="B101" s="56"/>
      <c r="C101" s="56"/>
      <c r="D101" s="56"/>
      <c r="E101" s="56"/>
      <c r="F101" s="56"/>
      <c r="G101" s="56"/>
    </row>
    <row r="102" spans="2:7">
      <c r="B102" s="56"/>
      <c r="C102" s="56"/>
      <c r="D102" s="56"/>
      <c r="E102" s="56"/>
      <c r="F102" s="56"/>
      <c r="G102" s="56"/>
    </row>
    <row r="103" spans="2:7">
      <c r="B103" s="56"/>
      <c r="C103" s="56"/>
      <c r="D103" s="56"/>
      <c r="E103" s="56"/>
      <c r="F103" s="56"/>
      <c r="G103" s="56"/>
    </row>
    <row r="104" spans="2:7">
      <c r="B104" s="56"/>
      <c r="C104" s="56"/>
      <c r="D104" s="56"/>
      <c r="E104" s="56"/>
      <c r="F104" s="56"/>
      <c r="G104" s="56"/>
    </row>
    <row r="105" spans="2:7">
      <c r="B105" s="56"/>
      <c r="C105" s="56"/>
      <c r="D105" s="56"/>
      <c r="E105" s="56"/>
      <c r="F105" s="56"/>
      <c r="G105" s="56"/>
    </row>
    <row r="106" spans="2:7">
      <c r="B106" s="56"/>
      <c r="C106" s="56"/>
      <c r="D106" s="56"/>
      <c r="E106" s="56"/>
      <c r="F106" s="56"/>
      <c r="G106" s="56"/>
    </row>
    <row r="107" spans="2:7">
      <c r="B107" s="56"/>
      <c r="C107" s="56"/>
      <c r="D107" s="56"/>
      <c r="E107" s="56"/>
      <c r="F107" s="56"/>
      <c r="G107" s="56"/>
    </row>
    <row r="108" spans="2:7">
      <c r="B108" s="56"/>
      <c r="C108" s="56"/>
      <c r="D108" s="56"/>
      <c r="E108" s="56"/>
      <c r="F108" s="56"/>
      <c r="G108" s="56"/>
    </row>
    <row r="109" spans="2:7">
      <c r="B109" s="56"/>
      <c r="C109" s="56"/>
      <c r="D109" s="56"/>
      <c r="E109" s="56"/>
      <c r="F109" s="56"/>
      <c r="G109" s="56"/>
    </row>
    <row r="110" spans="2:7">
      <c r="B110" s="56"/>
      <c r="C110" s="56"/>
      <c r="D110" s="56"/>
      <c r="E110" s="56"/>
      <c r="F110" s="56"/>
      <c r="G110" s="56"/>
    </row>
    <row r="111" spans="2:7">
      <c r="B111" s="56"/>
      <c r="C111" s="56"/>
      <c r="D111" s="56"/>
      <c r="E111" s="56"/>
      <c r="F111" s="56"/>
      <c r="G111" s="56"/>
    </row>
    <row r="112" spans="2:7">
      <c r="B112" s="56"/>
      <c r="C112" s="56"/>
      <c r="D112" s="56"/>
      <c r="E112" s="56"/>
      <c r="F112" s="56"/>
      <c r="G112" s="56"/>
    </row>
    <row r="113" spans="2:7">
      <c r="B113" s="56"/>
      <c r="C113" s="56"/>
      <c r="D113" s="56"/>
      <c r="E113" s="56"/>
      <c r="F113" s="56"/>
      <c r="G113" s="56"/>
    </row>
    <row r="114" spans="2:7">
      <c r="B114" s="56"/>
      <c r="C114" s="56"/>
      <c r="D114" s="56"/>
      <c r="E114" s="56"/>
      <c r="F114" s="56"/>
      <c r="G114" s="56"/>
    </row>
    <row r="115" spans="2:7">
      <c r="B115" s="56"/>
      <c r="C115" s="56"/>
      <c r="D115" s="56"/>
      <c r="E115" s="56"/>
      <c r="F115" s="56"/>
      <c r="G115" s="56"/>
    </row>
    <row r="116" spans="2:7">
      <c r="B116" s="56"/>
      <c r="C116" s="56"/>
      <c r="D116" s="56"/>
      <c r="E116" s="56"/>
      <c r="F116" s="56"/>
      <c r="G116" s="56"/>
    </row>
    <row r="117" spans="2:7">
      <c r="B117" s="56"/>
      <c r="C117" s="56"/>
      <c r="D117" s="56"/>
      <c r="E117" s="56"/>
      <c r="F117" s="56"/>
      <c r="G117" s="56"/>
    </row>
    <row r="118" spans="2:7">
      <c r="B118" s="56"/>
      <c r="C118" s="56"/>
      <c r="D118" s="56"/>
      <c r="E118" s="56"/>
      <c r="F118" s="56"/>
      <c r="G118" s="56"/>
    </row>
    <row r="119" spans="2:7">
      <c r="B119" s="56"/>
      <c r="C119" s="56"/>
      <c r="D119" s="56"/>
      <c r="E119" s="56"/>
      <c r="F119" s="56"/>
      <c r="G119" s="56"/>
    </row>
  </sheetData>
  <mergeCells count="1">
    <mergeCell ref="B2:G2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7" firstPageNumber="46" orientation="landscape" r:id="rId1"/>
  <headerFooter alignWithMargins="0"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46"/>
  <sheetViews>
    <sheetView topLeftCell="A19" workbookViewId="0">
      <selection activeCell="J39" sqref="J39"/>
    </sheetView>
  </sheetViews>
  <sheetFormatPr defaultRowHeight="12.75"/>
  <cols>
    <col min="1" max="1" width="15.7109375" style="36" customWidth="1"/>
    <col min="2" max="2" width="82.28515625" customWidth="1"/>
    <col min="3" max="6" width="18.7109375" customWidth="1"/>
  </cols>
  <sheetData>
    <row r="1" spans="1:6" ht="7.5" customHeight="1"/>
    <row r="2" spans="1:6" ht="15.75">
      <c r="A2" s="848" t="s">
        <v>854</v>
      </c>
      <c r="B2" s="915"/>
      <c r="C2" s="915"/>
      <c r="D2" s="915"/>
      <c r="E2" s="915"/>
      <c r="F2" s="915"/>
    </row>
    <row r="3" spans="1:6" ht="6.75" customHeight="1"/>
    <row r="4" spans="1:6" s="41" customFormat="1">
      <c r="A4" s="920" t="s">
        <v>324</v>
      </c>
      <c r="B4" s="920" t="s">
        <v>332</v>
      </c>
      <c r="C4" s="922" t="s">
        <v>855</v>
      </c>
      <c r="D4" s="917" t="s">
        <v>339</v>
      </c>
      <c r="E4" s="918"/>
      <c r="F4" s="919"/>
    </row>
    <row r="5" spans="1:6" s="41" customFormat="1" ht="57.75" customHeight="1">
      <c r="A5" s="921"/>
      <c r="B5" s="921"/>
      <c r="C5" s="923"/>
      <c r="D5" s="100" t="s">
        <v>338</v>
      </c>
      <c r="E5" s="100" t="s">
        <v>450</v>
      </c>
      <c r="F5" s="100" t="s">
        <v>451</v>
      </c>
    </row>
    <row r="6" spans="1:6" s="41" customFormat="1">
      <c r="A6" s="100">
        <v>1</v>
      </c>
      <c r="B6" s="101">
        <v>2</v>
      </c>
      <c r="C6" s="100" t="s">
        <v>340</v>
      </c>
      <c r="D6" s="100">
        <v>4</v>
      </c>
      <c r="E6" s="100">
        <v>5</v>
      </c>
      <c r="F6" s="100">
        <v>6</v>
      </c>
    </row>
    <row r="7" spans="1:6" ht="20.100000000000001" customHeight="1">
      <c r="A7" s="94">
        <v>10010001</v>
      </c>
      <c r="B7" s="23" t="s">
        <v>194</v>
      </c>
      <c r="C7" s="92">
        <f>D7+E7+F7</f>
        <v>33000</v>
      </c>
      <c r="D7" s="92">
        <f>'1'!M28-E7-F7</f>
        <v>33000</v>
      </c>
      <c r="E7" s="92">
        <v>0</v>
      </c>
      <c r="F7" s="92">
        <v>0</v>
      </c>
    </row>
    <row r="8" spans="1:6" ht="20.100000000000001" customHeight="1">
      <c r="A8" s="94">
        <v>11010001</v>
      </c>
      <c r="B8" s="23" t="s">
        <v>195</v>
      </c>
      <c r="C8" s="92">
        <f t="shared" ref="C8:C44" si="0">D8+E8+F8</f>
        <v>100000</v>
      </c>
      <c r="D8" s="92">
        <f>'2'!M46-E8-F8</f>
        <v>100000</v>
      </c>
      <c r="E8" s="92">
        <v>0</v>
      </c>
      <c r="F8" s="92">
        <v>0</v>
      </c>
    </row>
    <row r="9" spans="1:6" ht="20.100000000000001" customHeight="1">
      <c r="A9" s="94">
        <v>11010002</v>
      </c>
      <c r="B9" s="377" t="s">
        <v>691</v>
      </c>
      <c r="C9" s="92">
        <f t="shared" si="0"/>
        <v>0</v>
      </c>
      <c r="D9" s="92">
        <f>'4 (S)'!N31-E9-F9</f>
        <v>0</v>
      </c>
      <c r="E9" s="92">
        <v>0</v>
      </c>
      <c r="F9" s="92">
        <v>0</v>
      </c>
    </row>
    <row r="10" spans="1:6" ht="20.100000000000001" customHeight="1">
      <c r="A10" s="94">
        <v>11010003</v>
      </c>
      <c r="B10" s="23" t="s">
        <v>646</v>
      </c>
      <c r="C10" s="92">
        <f t="shared" si="0"/>
        <v>500</v>
      </c>
      <c r="D10" s="92">
        <f>'3'!M28-E10-F10</f>
        <v>500</v>
      </c>
      <c r="E10" s="92">
        <v>0</v>
      </c>
      <c r="F10" s="92">
        <v>0</v>
      </c>
    </row>
    <row r="11" spans="1:6" ht="20.100000000000001" customHeight="1">
      <c r="A11" s="94">
        <v>11010004</v>
      </c>
      <c r="B11" s="23" t="s">
        <v>644</v>
      </c>
      <c r="C11" s="92">
        <f t="shared" si="0"/>
        <v>1500</v>
      </c>
      <c r="D11" s="92">
        <f>'4'!M28-E11-F11</f>
        <v>1500</v>
      </c>
      <c r="E11" s="92">
        <v>0</v>
      </c>
      <c r="F11" s="92">
        <v>0</v>
      </c>
    </row>
    <row r="12" spans="1:6" ht="20.100000000000001" customHeight="1">
      <c r="A12" s="94">
        <v>11010005</v>
      </c>
      <c r="B12" s="138" t="s">
        <v>484</v>
      </c>
      <c r="C12" s="92">
        <f t="shared" si="0"/>
        <v>5000</v>
      </c>
      <c r="D12" s="92">
        <f>'5'!M28-E12-F12</f>
        <v>5000</v>
      </c>
      <c r="E12" s="92">
        <v>0</v>
      </c>
      <c r="F12" s="92">
        <v>0</v>
      </c>
    </row>
    <row r="13" spans="1:6" s="448" customFormat="1" ht="20.100000000000001" customHeight="1">
      <c r="A13" s="94">
        <v>11010006</v>
      </c>
      <c r="B13" s="377" t="s">
        <v>668</v>
      </c>
      <c r="C13" s="92">
        <f t="shared" ref="C13" si="1">D13+E13+F13</f>
        <v>1500</v>
      </c>
      <c r="D13" s="92">
        <f>'6'!M31-E13-F13</f>
        <v>1500</v>
      </c>
      <c r="E13" s="92">
        <v>0</v>
      </c>
      <c r="F13" s="92">
        <v>0</v>
      </c>
    </row>
    <row r="14" spans="1:6" ht="20.100000000000001" customHeight="1">
      <c r="A14" s="94">
        <v>12010001</v>
      </c>
      <c r="B14" s="23" t="s">
        <v>642</v>
      </c>
      <c r="C14" s="92">
        <f t="shared" si="0"/>
        <v>53000</v>
      </c>
      <c r="D14" s="92">
        <f>'7'!M28-E14-F14</f>
        <v>53000</v>
      </c>
      <c r="E14" s="92">
        <v>0</v>
      </c>
      <c r="F14" s="92">
        <v>0</v>
      </c>
    </row>
    <row r="15" spans="1:6" ht="20.100000000000001" customHeight="1">
      <c r="A15" s="94">
        <v>13010001</v>
      </c>
      <c r="B15" s="377" t="s">
        <v>196</v>
      </c>
      <c r="C15" s="92">
        <f t="shared" si="0"/>
        <v>170000</v>
      </c>
      <c r="D15" s="92">
        <f>'8'!M29-E15-F15</f>
        <v>170000</v>
      </c>
      <c r="E15" s="92">
        <v>0</v>
      </c>
      <c r="F15" s="92">
        <v>0</v>
      </c>
    </row>
    <row r="16" spans="1:6" ht="20.100000000000001" customHeight="1">
      <c r="A16" s="94">
        <v>14010001</v>
      </c>
      <c r="B16" s="377" t="s">
        <v>648</v>
      </c>
      <c r="C16" s="92">
        <f t="shared" si="0"/>
        <v>2500</v>
      </c>
      <c r="D16" s="92">
        <f>'9'!M30-E16-F16</f>
        <v>2500</v>
      </c>
      <c r="E16" s="92">
        <v>0</v>
      </c>
      <c r="F16" s="92">
        <v>0</v>
      </c>
    </row>
    <row r="17" spans="1:6" ht="20.100000000000001" customHeight="1">
      <c r="A17" s="94">
        <v>14020003</v>
      </c>
      <c r="B17" s="377" t="s">
        <v>676</v>
      </c>
      <c r="C17" s="92">
        <f t="shared" si="0"/>
        <v>50000</v>
      </c>
      <c r="D17" s="92">
        <f>'10'!M29-E17-F17</f>
        <v>50000</v>
      </c>
      <c r="E17" s="92">
        <v>0</v>
      </c>
      <c r="F17" s="92">
        <v>0</v>
      </c>
    </row>
    <row r="18" spans="1:6" ht="20.100000000000001" customHeight="1">
      <c r="A18" s="94">
        <v>14050001</v>
      </c>
      <c r="B18" s="377" t="s">
        <v>672</v>
      </c>
      <c r="C18" s="92">
        <f t="shared" si="0"/>
        <v>1000</v>
      </c>
      <c r="D18" s="92">
        <f>'11'!M28-E18-F18</f>
        <v>1000</v>
      </c>
      <c r="E18" s="92">
        <v>0</v>
      </c>
      <c r="F18" s="92">
        <v>0</v>
      </c>
    </row>
    <row r="19" spans="1:6" ht="20.100000000000001" customHeight="1">
      <c r="A19" s="94">
        <v>14050002</v>
      </c>
      <c r="B19" s="377" t="s">
        <v>673</v>
      </c>
      <c r="C19" s="92">
        <f t="shared" si="0"/>
        <v>1000</v>
      </c>
      <c r="D19" s="92">
        <f>'12'!M28-E19-F19</f>
        <v>1000</v>
      </c>
      <c r="E19" s="92">
        <v>0</v>
      </c>
      <c r="F19" s="92">
        <v>0</v>
      </c>
    </row>
    <row r="20" spans="1:6" ht="20.100000000000001" customHeight="1">
      <c r="A20" s="94">
        <v>14060001</v>
      </c>
      <c r="B20" s="377" t="s">
        <v>674</v>
      </c>
      <c r="C20" s="92">
        <f t="shared" si="0"/>
        <v>0</v>
      </c>
      <c r="D20" s="92">
        <f>'13'!M28-E20-F20</f>
        <v>0</v>
      </c>
      <c r="E20" s="92">
        <v>0</v>
      </c>
      <c r="F20" s="92">
        <v>0</v>
      </c>
    </row>
    <row r="21" spans="1:6" s="588" customFormat="1" ht="20.100000000000001" customHeight="1">
      <c r="A21" s="94">
        <v>14070001</v>
      </c>
      <c r="B21" s="377" t="s">
        <v>897</v>
      </c>
      <c r="C21" s="92">
        <f t="shared" ref="C21" si="2">D21+E21+F21</f>
        <v>3000</v>
      </c>
      <c r="D21" s="92">
        <f>'14'!M28-E28-F28</f>
        <v>3000</v>
      </c>
      <c r="E21" s="92">
        <v>0</v>
      </c>
      <c r="F21" s="92">
        <v>0</v>
      </c>
    </row>
    <row r="22" spans="1:6" ht="20.100000000000001" customHeight="1">
      <c r="A22" s="94">
        <v>15010001</v>
      </c>
      <c r="B22" s="377" t="s">
        <v>649</v>
      </c>
      <c r="C22" s="92">
        <f t="shared" si="0"/>
        <v>2000</v>
      </c>
      <c r="D22" s="92">
        <f>'15'!M36-E22-F22</f>
        <v>2000</v>
      </c>
      <c r="E22" s="92">
        <v>0</v>
      </c>
      <c r="F22" s="92">
        <v>0</v>
      </c>
    </row>
    <row r="23" spans="1:6" ht="20.100000000000001" customHeight="1">
      <c r="A23" s="94">
        <v>16010001</v>
      </c>
      <c r="B23" s="377" t="s">
        <v>650</v>
      </c>
      <c r="C23" s="92">
        <f t="shared" si="0"/>
        <v>10000</v>
      </c>
      <c r="D23" s="92">
        <f>'16'!M41-E23-F23</f>
        <v>10000</v>
      </c>
      <c r="E23" s="92">
        <v>0</v>
      </c>
      <c r="F23" s="92">
        <v>0</v>
      </c>
    </row>
    <row r="24" spans="1:6" ht="20.100000000000001" customHeight="1">
      <c r="A24" s="94">
        <v>17010001</v>
      </c>
      <c r="B24" s="377" t="s">
        <v>651</v>
      </c>
      <c r="C24" s="92">
        <f t="shared" si="0"/>
        <v>1500</v>
      </c>
      <c r="D24" s="92">
        <f>'17'!M34-E24-F24</f>
        <v>1500</v>
      </c>
      <c r="E24" s="92">
        <v>0</v>
      </c>
      <c r="F24" s="92">
        <v>0</v>
      </c>
    </row>
    <row r="25" spans="1:6" ht="20.100000000000001" customHeight="1">
      <c r="A25" s="94">
        <v>18010001</v>
      </c>
      <c r="B25" s="377" t="s">
        <v>652</v>
      </c>
      <c r="C25" s="92">
        <f t="shared" si="0"/>
        <v>1686000</v>
      </c>
      <c r="D25" s="92">
        <f>'18'!M32-E25-F25</f>
        <v>6000</v>
      </c>
      <c r="E25" s="92">
        <v>1680000</v>
      </c>
      <c r="F25" s="92">
        <v>0</v>
      </c>
    </row>
    <row r="26" spans="1:6" ht="20.100000000000001" customHeight="1">
      <c r="A26" s="94">
        <v>19010001</v>
      </c>
      <c r="B26" s="377" t="s">
        <v>653</v>
      </c>
      <c r="C26" s="92">
        <f t="shared" si="0"/>
        <v>35000</v>
      </c>
      <c r="D26" s="92">
        <f>'19'!M38-E26-F26</f>
        <v>5000</v>
      </c>
      <c r="E26" s="92">
        <v>30000</v>
      </c>
      <c r="F26" s="92">
        <v>0</v>
      </c>
    </row>
    <row r="27" spans="1:6" ht="20.100000000000001" customHeight="1">
      <c r="A27" s="94">
        <v>20010001</v>
      </c>
      <c r="B27" s="377" t="s">
        <v>654</v>
      </c>
      <c r="C27" s="92">
        <f t="shared" si="0"/>
        <v>130000</v>
      </c>
      <c r="D27" s="92">
        <f>'20'!M41-E27-F27</f>
        <v>110000</v>
      </c>
      <c r="E27" s="92">
        <v>0</v>
      </c>
      <c r="F27" s="92">
        <v>20000</v>
      </c>
    </row>
    <row r="28" spans="1:6" ht="20.100000000000001" customHeight="1">
      <c r="A28" s="94">
        <v>20020002</v>
      </c>
      <c r="B28" s="377" t="s">
        <v>702</v>
      </c>
      <c r="C28" s="92">
        <f t="shared" si="0"/>
        <v>43000</v>
      </c>
      <c r="D28" s="92">
        <f>'21'!M28-E28-F28</f>
        <v>43000</v>
      </c>
      <c r="E28" s="92">
        <v>0</v>
      </c>
      <c r="F28" s="92">
        <v>0</v>
      </c>
    </row>
    <row r="29" spans="1:6" ht="20.100000000000001" customHeight="1">
      <c r="A29" s="94">
        <v>20020003</v>
      </c>
      <c r="B29" s="377" t="s">
        <v>703</v>
      </c>
      <c r="C29" s="92">
        <f t="shared" si="0"/>
        <v>40000</v>
      </c>
      <c r="D29" s="92">
        <f>'22'!M28-E29-F29</f>
        <v>40000</v>
      </c>
      <c r="E29" s="92">
        <v>0</v>
      </c>
      <c r="F29" s="92">
        <v>0</v>
      </c>
    </row>
    <row r="30" spans="1:6" ht="20.100000000000001" customHeight="1">
      <c r="A30" s="94">
        <v>20020004</v>
      </c>
      <c r="B30" s="377" t="s">
        <v>704</v>
      </c>
      <c r="C30" s="92">
        <f t="shared" si="0"/>
        <v>28000</v>
      </c>
      <c r="D30" s="92">
        <f>'23'!M28-E30-F30</f>
        <v>28000</v>
      </c>
      <c r="E30" s="92">
        <v>0</v>
      </c>
      <c r="F30" s="154">
        <v>0</v>
      </c>
    </row>
    <row r="31" spans="1:6" ht="20.100000000000001" customHeight="1">
      <c r="A31" s="94">
        <v>20030001</v>
      </c>
      <c r="B31" s="377" t="s">
        <v>682</v>
      </c>
      <c r="C31" s="92">
        <f t="shared" si="0"/>
        <v>40000</v>
      </c>
      <c r="D31" s="92">
        <f>'24'!M28-E31-F31</f>
        <v>25000</v>
      </c>
      <c r="E31" s="92">
        <v>15000</v>
      </c>
      <c r="F31" s="92">
        <v>0</v>
      </c>
    </row>
    <row r="32" spans="1:6" ht="20.100000000000001" customHeight="1">
      <c r="A32" s="94">
        <v>20030002</v>
      </c>
      <c r="B32" s="377" t="s">
        <v>705</v>
      </c>
      <c r="C32" s="92">
        <f t="shared" si="0"/>
        <v>30000</v>
      </c>
      <c r="D32" s="92">
        <f>'25'!M28-E32-F32</f>
        <v>30000</v>
      </c>
      <c r="E32" s="92">
        <v>0</v>
      </c>
      <c r="F32" s="92">
        <v>0</v>
      </c>
    </row>
    <row r="33" spans="1:6" ht="20.100000000000001" customHeight="1">
      <c r="A33" s="94">
        <v>20030003</v>
      </c>
      <c r="B33" s="377" t="s">
        <v>706</v>
      </c>
      <c r="C33" s="92">
        <f t="shared" si="0"/>
        <v>13000</v>
      </c>
      <c r="D33" s="92">
        <f>'26'!M28-E33-F33</f>
        <v>13000</v>
      </c>
      <c r="E33" s="92">
        <v>0</v>
      </c>
      <c r="F33" s="92">
        <v>0</v>
      </c>
    </row>
    <row r="34" spans="1:6" ht="20.100000000000001" customHeight="1">
      <c r="A34" s="94">
        <v>20030004</v>
      </c>
      <c r="B34" s="377" t="s">
        <v>707</v>
      </c>
      <c r="C34" s="92">
        <f t="shared" si="0"/>
        <v>20000</v>
      </c>
      <c r="D34" s="92">
        <f>'27'!M28-E34-F34</f>
        <v>20000</v>
      </c>
      <c r="E34" s="92">
        <v>0</v>
      </c>
      <c r="F34" s="92">
        <v>0</v>
      </c>
    </row>
    <row r="35" spans="1:6" ht="20.100000000000001" customHeight="1">
      <c r="A35" s="94">
        <v>20030005</v>
      </c>
      <c r="B35" s="377" t="s">
        <v>712</v>
      </c>
      <c r="C35" s="92">
        <f t="shared" si="0"/>
        <v>15000</v>
      </c>
      <c r="D35" s="92">
        <f>'28'!M28-E35-F35</f>
        <v>15000</v>
      </c>
      <c r="E35" s="92">
        <v>0</v>
      </c>
      <c r="F35" s="92">
        <v>0</v>
      </c>
    </row>
    <row r="36" spans="1:6" ht="20.100000000000001" customHeight="1">
      <c r="A36" s="94">
        <v>20030006</v>
      </c>
      <c r="B36" s="377" t="s">
        <v>709</v>
      </c>
      <c r="C36" s="92">
        <f t="shared" si="0"/>
        <v>3500</v>
      </c>
      <c r="D36" s="92">
        <f>'29'!M28-E36-F36</f>
        <v>3500</v>
      </c>
      <c r="E36" s="92">
        <v>0</v>
      </c>
      <c r="F36" s="92">
        <v>0</v>
      </c>
    </row>
    <row r="37" spans="1:6" ht="20.100000000000001" customHeight="1">
      <c r="A37" s="94">
        <v>20030007</v>
      </c>
      <c r="B37" s="377" t="s">
        <v>710</v>
      </c>
      <c r="C37" s="92">
        <f t="shared" si="0"/>
        <v>4000</v>
      </c>
      <c r="D37" s="92">
        <f>'30'!M28-E37-F37</f>
        <v>4000</v>
      </c>
      <c r="E37" s="92">
        <v>0</v>
      </c>
      <c r="F37" s="92">
        <v>0</v>
      </c>
    </row>
    <row r="38" spans="1:6" ht="20.100000000000001" customHeight="1">
      <c r="A38" s="94">
        <v>21010001</v>
      </c>
      <c r="B38" s="377" t="s">
        <v>655</v>
      </c>
      <c r="C38" s="92">
        <f t="shared" si="0"/>
        <v>6200</v>
      </c>
      <c r="D38" s="92">
        <f>'31'!M31-E38-F38</f>
        <v>6200</v>
      </c>
      <c r="E38" s="92">
        <v>0</v>
      </c>
      <c r="F38" s="92">
        <v>0</v>
      </c>
    </row>
    <row r="39" spans="1:6" ht="20.100000000000001" customHeight="1">
      <c r="A39" s="94">
        <v>22010001</v>
      </c>
      <c r="B39" s="377" t="s">
        <v>669</v>
      </c>
      <c r="C39" s="92">
        <f t="shared" si="0"/>
        <v>0</v>
      </c>
      <c r="D39" s="92">
        <f>'32'!M28-E39-F39</f>
        <v>0</v>
      </c>
      <c r="E39" s="92">
        <v>0</v>
      </c>
      <c r="F39" s="92">
        <v>0</v>
      </c>
    </row>
    <row r="40" spans="1:6" ht="20.100000000000001" customHeight="1">
      <c r="A40" s="94">
        <v>23010001</v>
      </c>
      <c r="B40" s="377" t="s">
        <v>667</v>
      </c>
      <c r="C40" s="92">
        <f t="shared" si="0"/>
        <v>45000</v>
      </c>
      <c r="D40" s="92">
        <f>'33'!M32-E40-F40</f>
        <v>0</v>
      </c>
      <c r="E40" s="92">
        <v>45000</v>
      </c>
      <c r="F40" s="92">
        <v>0</v>
      </c>
    </row>
    <row r="41" spans="1:6" ht="20.100000000000001" customHeight="1">
      <c r="A41" s="94">
        <v>24010001</v>
      </c>
      <c r="B41" s="23" t="s">
        <v>198</v>
      </c>
      <c r="C41" s="92">
        <f t="shared" si="0"/>
        <v>10000</v>
      </c>
      <c r="D41" s="92">
        <f>'34'!M28-E41-F41</f>
        <v>10000</v>
      </c>
      <c r="E41" s="92">
        <v>0</v>
      </c>
      <c r="F41" s="92">
        <v>0</v>
      </c>
    </row>
    <row r="42" spans="1:6" ht="20.100000000000001" customHeight="1">
      <c r="A42" s="94">
        <v>26010001</v>
      </c>
      <c r="B42" s="23" t="s">
        <v>199</v>
      </c>
      <c r="C42" s="92">
        <f t="shared" si="0"/>
        <v>1000</v>
      </c>
      <c r="D42" s="92">
        <f>'35'!M28-E42-F42</f>
        <v>1000</v>
      </c>
      <c r="E42" s="92">
        <v>0</v>
      </c>
      <c r="F42" s="92">
        <v>0</v>
      </c>
    </row>
    <row r="43" spans="1:6" ht="20.100000000000001" customHeight="1">
      <c r="A43" s="94">
        <v>27010001</v>
      </c>
      <c r="B43" s="377" t="s">
        <v>675</v>
      </c>
      <c r="C43" s="92">
        <f t="shared" si="0"/>
        <v>10000</v>
      </c>
      <c r="D43" s="92">
        <f>'36'!M28-E43-F43</f>
        <v>10000</v>
      </c>
      <c r="E43" s="92">
        <v>0</v>
      </c>
      <c r="F43" s="92">
        <v>0</v>
      </c>
    </row>
    <row r="44" spans="1:6" ht="20.100000000000001" customHeight="1">
      <c r="A44" s="94">
        <v>28010001</v>
      </c>
      <c r="B44" s="23" t="s">
        <v>200</v>
      </c>
      <c r="C44" s="92">
        <f t="shared" si="0"/>
        <v>35000</v>
      </c>
      <c r="D44" s="92">
        <f>'37'!M28-E44-F44</f>
        <v>35000</v>
      </c>
      <c r="E44" s="92">
        <v>0</v>
      </c>
      <c r="F44" s="92">
        <v>0</v>
      </c>
    </row>
    <row r="45" spans="1:6" s="41" customFormat="1" ht="20.100000000000001" customHeight="1">
      <c r="A45" s="63"/>
      <c r="B45" s="98" t="s">
        <v>336</v>
      </c>
      <c r="C45" s="99">
        <f>SUM(C7:C44)</f>
        <v>2630200</v>
      </c>
      <c r="D45" s="99">
        <f>SUM(D7:D44)</f>
        <v>840200</v>
      </c>
      <c r="E45" s="99">
        <f>SUM(E7:E44)</f>
        <v>1770000</v>
      </c>
      <c r="F45" s="99">
        <f>SUM(F7:F44)</f>
        <v>20000</v>
      </c>
    </row>
    <row r="46" spans="1:6" ht="18" customHeight="1"/>
  </sheetData>
  <mergeCells count="5">
    <mergeCell ref="A2:F2"/>
    <mergeCell ref="D4:F4"/>
    <mergeCell ref="A4:A5"/>
    <mergeCell ref="B4:B5"/>
    <mergeCell ref="C4:C5"/>
  </mergeCells>
  <phoneticPr fontId="0" type="noConversion"/>
  <pageMargins left="0.9055118110236221" right="0.31496062992125984" top="0.35433070866141736" bottom="0.33" header="0.39370078740157483" footer="0.31496062992125984"/>
  <pageSetup paperSize="9" scale="78" orientation="landscape" r:id="rId1"/>
  <headerFooter alignWithMargins="0"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7"/>
  <dimension ref="A1:H37"/>
  <sheetViews>
    <sheetView workbookViewId="0">
      <selection activeCell="H38" sqref="H38"/>
    </sheetView>
  </sheetViews>
  <sheetFormatPr defaultRowHeight="15" customHeight="1"/>
  <cols>
    <col min="1" max="1" width="9.140625" style="520"/>
    <col min="2" max="2" width="46.7109375" style="520" customWidth="1"/>
    <col min="3" max="3" width="18" style="520" customWidth="1"/>
    <col min="4" max="4" width="12.42578125" style="520" customWidth="1"/>
    <col min="5" max="6" width="9.140625" style="520"/>
    <col min="7" max="8" width="15.7109375" style="520" customWidth="1"/>
    <col min="9" max="9" width="8.7109375" style="520" customWidth="1"/>
    <col min="10" max="257" width="9.140625" style="520"/>
    <col min="258" max="258" width="46.7109375" style="520" customWidth="1"/>
    <col min="259" max="259" width="18" style="520" customWidth="1"/>
    <col min="260" max="260" width="12.42578125" style="520" customWidth="1"/>
    <col min="261" max="262" width="9.140625" style="520"/>
    <col min="263" max="264" width="15.7109375" style="520" customWidth="1"/>
    <col min="265" max="265" width="8.7109375" style="520" customWidth="1"/>
    <col min="266" max="513" width="9.140625" style="520"/>
    <col min="514" max="514" width="46.7109375" style="520" customWidth="1"/>
    <col min="515" max="515" width="18" style="520" customWidth="1"/>
    <col min="516" max="516" width="12.42578125" style="520" customWidth="1"/>
    <col min="517" max="518" width="9.140625" style="520"/>
    <col min="519" max="520" width="15.7109375" style="520" customWidth="1"/>
    <col min="521" max="521" width="8.7109375" style="520" customWidth="1"/>
    <col min="522" max="769" width="9.140625" style="520"/>
    <col min="770" max="770" width="46.7109375" style="520" customWidth="1"/>
    <col min="771" max="771" width="18" style="520" customWidth="1"/>
    <col min="772" max="772" width="12.42578125" style="520" customWidth="1"/>
    <col min="773" max="774" width="9.140625" style="520"/>
    <col min="775" max="776" width="15.7109375" style="520" customWidth="1"/>
    <col min="777" max="777" width="8.7109375" style="520" customWidth="1"/>
    <col min="778" max="1025" width="9.140625" style="520"/>
    <col min="1026" max="1026" width="46.7109375" style="520" customWidth="1"/>
    <col min="1027" max="1027" width="18" style="520" customWidth="1"/>
    <col min="1028" max="1028" width="12.42578125" style="520" customWidth="1"/>
    <col min="1029" max="1030" width="9.140625" style="520"/>
    <col min="1031" max="1032" width="15.7109375" style="520" customWidth="1"/>
    <col min="1033" max="1033" width="8.7109375" style="520" customWidth="1"/>
    <col min="1034" max="1281" width="9.140625" style="520"/>
    <col min="1282" max="1282" width="46.7109375" style="520" customWidth="1"/>
    <col min="1283" max="1283" width="18" style="520" customWidth="1"/>
    <col min="1284" max="1284" width="12.42578125" style="520" customWidth="1"/>
    <col min="1285" max="1286" width="9.140625" style="520"/>
    <col min="1287" max="1288" width="15.7109375" style="520" customWidth="1"/>
    <col min="1289" max="1289" width="8.7109375" style="520" customWidth="1"/>
    <col min="1290" max="1537" width="9.140625" style="520"/>
    <col min="1538" max="1538" width="46.7109375" style="520" customWidth="1"/>
    <col min="1539" max="1539" width="18" style="520" customWidth="1"/>
    <col min="1540" max="1540" width="12.42578125" style="520" customWidth="1"/>
    <col min="1541" max="1542" width="9.140625" style="520"/>
    <col min="1543" max="1544" width="15.7109375" style="520" customWidth="1"/>
    <col min="1545" max="1545" width="8.7109375" style="520" customWidth="1"/>
    <col min="1546" max="1793" width="9.140625" style="520"/>
    <col min="1794" max="1794" width="46.7109375" style="520" customWidth="1"/>
    <col min="1795" max="1795" width="18" style="520" customWidth="1"/>
    <col min="1796" max="1796" width="12.42578125" style="520" customWidth="1"/>
    <col min="1797" max="1798" width="9.140625" style="520"/>
    <col min="1799" max="1800" width="15.7109375" style="520" customWidth="1"/>
    <col min="1801" max="1801" width="8.7109375" style="520" customWidth="1"/>
    <col min="1802" max="2049" width="9.140625" style="520"/>
    <col min="2050" max="2050" width="46.7109375" style="520" customWidth="1"/>
    <col min="2051" max="2051" width="18" style="520" customWidth="1"/>
    <col min="2052" max="2052" width="12.42578125" style="520" customWidth="1"/>
    <col min="2053" max="2054" width="9.140625" style="520"/>
    <col min="2055" max="2056" width="15.7109375" style="520" customWidth="1"/>
    <col min="2057" max="2057" width="8.7109375" style="520" customWidth="1"/>
    <col min="2058" max="2305" width="9.140625" style="520"/>
    <col min="2306" max="2306" width="46.7109375" style="520" customWidth="1"/>
    <col min="2307" max="2307" width="18" style="520" customWidth="1"/>
    <col min="2308" max="2308" width="12.42578125" style="520" customWidth="1"/>
    <col min="2309" max="2310" width="9.140625" style="520"/>
    <col min="2311" max="2312" width="15.7109375" style="520" customWidth="1"/>
    <col min="2313" max="2313" width="8.7109375" style="520" customWidth="1"/>
    <col min="2314" max="2561" width="9.140625" style="520"/>
    <col min="2562" max="2562" width="46.7109375" style="520" customWidth="1"/>
    <col min="2563" max="2563" width="18" style="520" customWidth="1"/>
    <col min="2564" max="2564" width="12.42578125" style="520" customWidth="1"/>
    <col min="2565" max="2566" width="9.140625" style="520"/>
    <col min="2567" max="2568" width="15.7109375" style="520" customWidth="1"/>
    <col min="2569" max="2569" width="8.7109375" style="520" customWidth="1"/>
    <col min="2570" max="2817" width="9.140625" style="520"/>
    <col min="2818" max="2818" width="46.7109375" style="520" customWidth="1"/>
    <col min="2819" max="2819" width="18" style="520" customWidth="1"/>
    <col min="2820" max="2820" width="12.42578125" style="520" customWidth="1"/>
    <col min="2821" max="2822" width="9.140625" style="520"/>
    <col min="2823" max="2824" width="15.7109375" style="520" customWidth="1"/>
    <col min="2825" max="2825" width="8.7109375" style="520" customWidth="1"/>
    <col min="2826" max="3073" width="9.140625" style="520"/>
    <col min="3074" max="3074" width="46.7109375" style="520" customWidth="1"/>
    <col min="3075" max="3075" width="18" style="520" customWidth="1"/>
    <col min="3076" max="3076" width="12.42578125" style="520" customWidth="1"/>
    <col min="3077" max="3078" width="9.140625" style="520"/>
    <col min="3079" max="3080" width="15.7109375" style="520" customWidth="1"/>
    <col min="3081" max="3081" width="8.7109375" style="520" customWidth="1"/>
    <col min="3082" max="3329" width="9.140625" style="520"/>
    <col min="3330" max="3330" width="46.7109375" style="520" customWidth="1"/>
    <col min="3331" max="3331" width="18" style="520" customWidth="1"/>
    <col min="3332" max="3332" width="12.42578125" style="520" customWidth="1"/>
    <col min="3333" max="3334" width="9.140625" style="520"/>
    <col min="3335" max="3336" width="15.7109375" style="520" customWidth="1"/>
    <col min="3337" max="3337" width="8.7109375" style="520" customWidth="1"/>
    <col min="3338" max="3585" width="9.140625" style="520"/>
    <col min="3586" max="3586" width="46.7109375" style="520" customWidth="1"/>
    <col min="3587" max="3587" width="18" style="520" customWidth="1"/>
    <col min="3588" max="3588" width="12.42578125" style="520" customWidth="1"/>
    <col min="3589" max="3590" width="9.140625" style="520"/>
    <col min="3591" max="3592" width="15.7109375" style="520" customWidth="1"/>
    <col min="3593" max="3593" width="8.7109375" style="520" customWidth="1"/>
    <col min="3594" max="3841" width="9.140625" style="520"/>
    <col min="3842" max="3842" width="46.7109375" style="520" customWidth="1"/>
    <col min="3843" max="3843" width="18" style="520" customWidth="1"/>
    <col min="3844" max="3844" width="12.42578125" style="520" customWidth="1"/>
    <col min="3845" max="3846" width="9.140625" style="520"/>
    <col min="3847" max="3848" width="15.7109375" style="520" customWidth="1"/>
    <col min="3849" max="3849" width="8.7109375" style="520" customWidth="1"/>
    <col min="3850" max="4097" width="9.140625" style="520"/>
    <col min="4098" max="4098" width="46.7109375" style="520" customWidth="1"/>
    <col min="4099" max="4099" width="18" style="520" customWidth="1"/>
    <col min="4100" max="4100" width="12.42578125" style="520" customWidth="1"/>
    <col min="4101" max="4102" width="9.140625" style="520"/>
    <col min="4103" max="4104" width="15.7109375" style="520" customWidth="1"/>
    <col min="4105" max="4105" width="8.7109375" style="520" customWidth="1"/>
    <col min="4106" max="4353" width="9.140625" style="520"/>
    <col min="4354" max="4354" width="46.7109375" style="520" customWidth="1"/>
    <col min="4355" max="4355" width="18" style="520" customWidth="1"/>
    <col min="4356" max="4356" width="12.42578125" style="520" customWidth="1"/>
    <col min="4357" max="4358" width="9.140625" style="520"/>
    <col min="4359" max="4360" width="15.7109375" style="520" customWidth="1"/>
    <col min="4361" max="4361" width="8.7109375" style="520" customWidth="1"/>
    <col min="4362" max="4609" width="9.140625" style="520"/>
    <col min="4610" max="4610" width="46.7109375" style="520" customWidth="1"/>
    <col min="4611" max="4611" width="18" style="520" customWidth="1"/>
    <col min="4612" max="4612" width="12.42578125" style="520" customWidth="1"/>
    <col min="4613" max="4614" width="9.140625" style="520"/>
    <col min="4615" max="4616" width="15.7109375" style="520" customWidth="1"/>
    <col min="4617" max="4617" width="8.7109375" style="520" customWidth="1"/>
    <col min="4618" max="4865" width="9.140625" style="520"/>
    <col min="4866" max="4866" width="46.7109375" style="520" customWidth="1"/>
    <col min="4867" max="4867" width="18" style="520" customWidth="1"/>
    <col min="4868" max="4868" width="12.42578125" style="520" customWidth="1"/>
    <col min="4869" max="4870" width="9.140625" style="520"/>
    <col min="4871" max="4872" width="15.7109375" style="520" customWidth="1"/>
    <col min="4873" max="4873" width="8.7109375" style="520" customWidth="1"/>
    <col min="4874" max="5121" width="9.140625" style="520"/>
    <col min="5122" max="5122" width="46.7109375" style="520" customWidth="1"/>
    <col min="5123" max="5123" width="18" style="520" customWidth="1"/>
    <col min="5124" max="5124" width="12.42578125" style="520" customWidth="1"/>
    <col min="5125" max="5126" width="9.140625" style="520"/>
    <col min="5127" max="5128" width="15.7109375" style="520" customWidth="1"/>
    <col min="5129" max="5129" width="8.7109375" style="520" customWidth="1"/>
    <col min="5130" max="5377" width="9.140625" style="520"/>
    <col min="5378" max="5378" width="46.7109375" style="520" customWidth="1"/>
    <col min="5379" max="5379" width="18" style="520" customWidth="1"/>
    <col min="5380" max="5380" width="12.42578125" style="520" customWidth="1"/>
    <col min="5381" max="5382" width="9.140625" style="520"/>
    <col min="5383" max="5384" width="15.7109375" style="520" customWidth="1"/>
    <col min="5385" max="5385" width="8.7109375" style="520" customWidth="1"/>
    <col min="5386" max="5633" width="9.140625" style="520"/>
    <col min="5634" max="5634" width="46.7109375" style="520" customWidth="1"/>
    <col min="5635" max="5635" width="18" style="520" customWidth="1"/>
    <col min="5636" max="5636" width="12.42578125" style="520" customWidth="1"/>
    <col min="5637" max="5638" width="9.140625" style="520"/>
    <col min="5639" max="5640" width="15.7109375" style="520" customWidth="1"/>
    <col min="5641" max="5641" width="8.7109375" style="520" customWidth="1"/>
    <col min="5642" max="5889" width="9.140625" style="520"/>
    <col min="5890" max="5890" width="46.7109375" style="520" customWidth="1"/>
    <col min="5891" max="5891" width="18" style="520" customWidth="1"/>
    <col min="5892" max="5892" width="12.42578125" style="520" customWidth="1"/>
    <col min="5893" max="5894" width="9.140625" style="520"/>
    <col min="5895" max="5896" width="15.7109375" style="520" customWidth="1"/>
    <col min="5897" max="5897" width="8.7109375" style="520" customWidth="1"/>
    <col min="5898" max="6145" width="9.140625" style="520"/>
    <col min="6146" max="6146" width="46.7109375" style="520" customWidth="1"/>
    <col min="6147" max="6147" width="18" style="520" customWidth="1"/>
    <col min="6148" max="6148" width="12.42578125" style="520" customWidth="1"/>
    <col min="6149" max="6150" width="9.140625" style="520"/>
    <col min="6151" max="6152" width="15.7109375" style="520" customWidth="1"/>
    <col min="6153" max="6153" width="8.7109375" style="520" customWidth="1"/>
    <col min="6154" max="6401" width="9.140625" style="520"/>
    <col min="6402" max="6402" width="46.7109375" style="520" customWidth="1"/>
    <col min="6403" max="6403" width="18" style="520" customWidth="1"/>
    <col min="6404" max="6404" width="12.42578125" style="520" customWidth="1"/>
    <col min="6405" max="6406" width="9.140625" style="520"/>
    <col min="6407" max="6408" width="15.7109375" style="520" customWidth="1"/>
    <col min="6409" max="6409" width="8.7109375" style="520" customWidth="1"/>
    <col min="6410" max="6657" width="9.140625" style="520"/>
    <col min="6658" max="6658" width="46.7109375" style="520" customWidth="1"/>
    <col min="6659" max="6659" width="18" style="520" customWidth="1"/>
    <col min="6660" max="6660" width="12.42578125" style="520" customWidth="1"/>
    <col min="6661" max="6662" width="9.140625" style="520"/>
    <col min="6663" max="6664" width="15.7109375" style="520" customWidth="1"/>
    <col min="6665" max="6665" width="8.7109375" style="520" customWidth="1"/>
    <col min="6666" max="6913" width="9.140625" style="520"/>
    <col min="6914" max="6914" width="46.7109375" style="520" customWidth="1"/>
    <col min="6915" max="6915" width="18" style="520" customWidth="1"/>
    <col min="6916" max="6916" width="12.42578125" style="520" customWidth="1"/>
    <col min="6917" max="6918" width="9.140625" style="520"/>
    <col min="6919" max="6920" width="15.7109375" style="520" customWidth="1"/>
    <col min="6921" max="6921" width="8.7109375" style="520" customWidth="1"/>
    <col min="6922" max="7169" width="9.140625" style="520"/>
    <col min="7170" max="7170" width="46.7109375" style="520" customWidth="1"/>
    <col min="7171" max="7171" width="18" style="520" customWidth="1"/>
    <col min="7172" max="7172" width="12.42578125" style="520" customWidth="1"/>
    <col min="7173" max="7174" width="9.140625" style="520"/>
    <col min="7175" max="7176" width="15.7109375" style="520" customWidth="1"/>
    <col min="7177" max="7177" width="8.7109375" style="520" customWidth="1"/>
    <col min="7178" max="7425" width="9.140625" style="520"/>
    <col min="7426" max="7426" width="46.7109375" style="520" customWidth="1"/>
    <col min="7427" max="7427" width="18" style="520" customWidth="1"/>
    <col min="7428" max="7428" width="12.42578125" style="520" customWidth="1"/>
    <col min="7429" max="7430" width="9.140625" style="520"/>
    <col min="7431" max="7432" width="15.7109375" style="520" customWidth="1"/>
    <col min="7433" max="7433" width="8.7109375" style="520" customWidth="1"/>
    <col min="7434" max="7681" width="9.140625" style="520"/>
    <col min="7682" max="7682" width="46.7109375" style="520" customWidth="1"/>
    <col min="7683" max="7683" width="18" style="520" customWidth="1"/>
    <col min="7684" max="7684" width="12.42578125" style="520" customWidth="1"/>
    <col min="7685" max="7686" width="9.140625" style="520"/>
    <col min="7687" max="7688" width="15.7109375" style="520" customWidth="1"/>
    <col min="7689" max="7689" width="8.7109375" style="520" customWidth="1"/>
    <col min="7690" max="7937" width="9.140625" style="520"/>
    <col min="7938" max="7938" width="46.7109375" style="520" customWidth="1"/>
    <col min="7939" max="7939" width="18" style="520" customWidth="1"/>
    <col min="7940" max="7940" width="12.42578125" style="520" customWidth="1"/>
    <col min="7941" max="7942" width="9.140625" style="520"/>
    <col min="7943" max="7944" width="15.7109375" style="520" customWidth="1"/>
    <col min="7945" max="7945" width="8.7109375" style="520" customWidth="1"/>
    <col min="7946" max="8193" width="9.140625" style="520"/>
    <col min="8194" max="8194" width="46.7109375" style="520" customWidth="1"/>
    <col min="8195" max="8195" width="18" style="520" customWidth="1"/>
    <col min="8196" max="8196" width="12.42578125" style="520" customWidth="1"/>
    <col min="8197" max="8198" width="9.140625" style="520"/>
    <col min="8199" max="8200" width="15.7109375" style="520" customWidth="1"/>
    <col min="8201" max="8201" width="8.7109375" style="520" customWidth="1"/>
    <col min="8202" max="8449" width="9.140625" style="520"/>
    <col min="8450" max="8450" width="46.7109375" style="520" customWidth="1"/>
    <col min="8451" max="8451" width="18" style="520" customWidth="1"/>
    <col min="8452" max="8452" width="12.42578125" style="520" customWidth="1"/>
    <col min="8453" max="8454" width="9.140625" style="520"/>
    <col min="8455" max="8456" width="15.7109375" style="520" customWidth="1"/>
    <col min="8457" max="8457" width="8.7109375" style="520" customWidth="1"/>
    <col min="8458" max="8705" width="9.140625" style="520"/>
    <col min="8706" max="8706" width="46.7109375" style="520" customWidth="1"/>
    <col min="8707" max="8707" width="18" style="520" customWidth="1"/>
    <col min="8708" max="8708" width="12.42578125" style="520" customWidth="1"/>
    <col min="8709" max="8710" width="9.140625" style="520"/>
    <col min="8711" max="8712" width="15.7109375" style="520" customWidth="1"/>
    <col min="8713" max="8713" width="8.7109375" style="520" customWidth="1"/>
    <col min="8714" max="8961" width="9.140625" style="520"/>
    <col min="8962" max="8962" width="46.7109375" style="520" customWidth="1"/>
    <col min="8963" max="8963" width="18" style="520" customWidth="1"/>
    <col min="8964" max="8964" width="12.42578125" style="520" customWidth="1"/>
    <col min="8965" max="8966" width="9.140625" style="520"/>
    <col min="8967" max="8968" width="15.7109375" style="520" customWidth="1"/>
    <col min="8969" max="8969" width="8.7109375" style="520" customWidth="1"/>
    <col min="8970" max="9217" width="9.140625" style="520"/>
    <col min="9218" max="9218" width="46.7109375" style="520" customWidth="1"/>
    <col min="9219" max="9219" width="18" style="520" customWidth="1"/>
    <col min="9220" max="9220" width="12.42578125" style="520" customWidth="1"/>
    <col min="9221" max="9222" width="9.140625" style="520"/>
    <col min="9223" max="9224" width="15.7109375" style="520" customWidth="1"/>
    <col min="9225" max="9225" width="8.7109375" style="520" customWidth="1"/>
    <col min="9226" max="9473" width="9.140625" style="520"/>
    <col min="9474" max="9474" width="46.7109375" style="520" customWidth="1"/>
    <col min="9475" max="9475" width="18" style="520" customWidth="1"/>
    <col min="9476" max="9476" width="12.42578125" style="520" customWidth="1"/>
    <col min="9477" max="9478" width="9.140625" style="520"/>
    <col min="9479" max="9480" width="15.7109375" style="520" customWidth="1"/>
    <col min="9481" max="9481" width="8.7109375" style="520" customWidth="1"/>
    <col min="9482" max="9729" width="9.140625" style="520"/>
    <col min="9730" max="9730" width="46.7109375" style="520" customWidth="1"/>
    <col min="9731" max="9731" width="18" style="520" customWidth="1"/>
    <col min="9732" max="9732" width="12.42578125" style="520" customWidth="1"/>
    <col min="9733" max="9734" width="9.140625" style="520"/>
    <col min="9735" max="9736" width="15.7109375" style="520" customWidth="1"/>
    <col min="9737" max="9737" width="8.7109375" style="520" customWidth="1"/>
    <col min="9738" max="9985" width="9.140625" style="520"/>
    <col min="9986" max="9986" width="46.7109375" style="520" customWidth="1"/>
    <col min="9987" max="9987" width="18" style="520" customWidth="1"/>
    <col min="9988" max="9988" width="12.42578125" style="520" customWidth="1"/>
    <col min="9989" max="9990" width="9.140625" style="520"/>
    <col min="9991" max="9992" width="15.7109375" style="520" customWidth="1"/>
    <col min="9993" max="9993" width="8.7109375" style="520" customWidth="1"/>
    <col min="9994" max="10241" width="9.140625" style="520"/>
    <col min="10242" max="10242" width="46.7109375" style="520" customWidth="1"/>
    <col min="10243" max="10243" width="18" style="520" customWidth="1"/>
    <col min="10244" max="10244" width="12.42578125" style="520" customWidth="1"/>
    <col min="10245" max="10246" width="9.140625" style="520"/>
    <col min="10247" max="10248" width="15.7109375" style="520" customWidth="1"/>
    <col min="10249" max="10249" width="8.7109375" style="520" customWidth="1"/>
    <col min="10250" max="10497" width="9.140625" style="520"/>
    <col min="10498" max="10498" width="46.7109375" style="520" customWidth="1"/>
    <col min="10499" max="10499" width="18" style="520" customWidth="1"/>
    <col min="10500" max="10500" width="12.42578125" style="520" customWidth="1"/>
    <col min="10501" max="10502" width="9.140625" style="520"/>
    <col min="10503" max="10504" width="15.7109375" style="520" customWidth="1"/>
    <col min="10505" max="10505" width="8.7109375" style="520" customWidth="1"/>
    <col min="10506" max="10753" width="9.140625" style="520"/>
    <col min="10754" max="10754" width="46.7109375" style="520" customWidth="1"/>
    <col min="10755" max="10755" width="18" style="520" customWidth="1"/>
    <col min="10756" max="10756" width="12.42578125" style="520" customWidth="1"/>
    <col min="10757" max="10758" width="9.140625" style="520"/>
    <col min="10759" max="10760" width="15.7109375" style="520" customWidth="1"/>
    <col min="10761" max="10761" width="8.7109375" style="520" customWidth="1"/>
    <col min="10762" max="11009" width="9.140625" style="520"/>
    <col min="11010" max="11010" width="46.7109375" style="520" customWidth="1"/>
    <col min="11011" max="11011" width="18" style="520" customWidth="1"/>
    <col min="11012" max="11012" width="12.42578125" style="520" customWidth="1"/>
    <col min="11013" max="11014" width="9.140625" style="520"/>
    <col min="11015" max="11016" width="15.7109375" style="520" customWidth="1"/>
    <col min="11017" max="11017" width="8.7109375" style="520" customWidth="1"/>
    <col min="11018" max="11265" width="9.140625" style="520"/>
    <col min="11266" max="11266" width="46.7109375" style="520" customWidth="1"/>
    <col min="11267" max="11267" width="18" style="520" customWidth="1"/>
    <col min="11268" max="11268" width="12.42578125" style="520" customWidth="1"/>
    <col min="11269" max="11270" width="9.140625" style="520"/>
    <col min="11271" max="11272" width="15.7109375" style="520" customWidth="1"/>
    <col min="11273" max="11273" width="8.7109375" style="520" customWidth="1"/>
    <col min="11274" max="11521" width="9.140625" style="520"/>
    <col min="11522" max="11522" width="46.7109375" style="520" customWidth="1"/>
    <col min="11523" max="11523" width="18" style="520" customWidth="1"/>
    <col min="11524" max="11524" width="12.42578125" style="520" customWidth="1"/>
    <col min="11525" max="11526" width="9.140625" style="520"/>
    <col min="11527" max="11528" width="15.7109375" style="520" customWidth="1"/>
    <col min="11529" max="11529" width="8.7109375" style="520" customWidth="1"/>
    <col min="11530" max="11777" width="9.140625" style="520"/>
    <col min="11778" max="11778" width="46.7109375" style="520" customWidth="1"/>
    <col min="11779" max="11779" width="18" style="520" customWidth="1"/>
    <col min="11780" max="11780" width="12.42578125" style="520" customWidth="1"/>
    <col min="11781" max="11782" width="9.140625" style="520"/>
    <col min="11783" max="11784" width="15.7109375" style="520" customWidth="1"/>
    <col min="11785" max="11785" width="8.7109375" style="520" customWidth="1"/>
    <col min="11786" max="12033" width="9.140625" style="520"/>
    <col min="12034" max="12034" width="46.7109375" style="520" customWidth="1"/>
    <col min="12035" max="12035" width="18" style="520" customWidth="1"/>
    <col min="12036" max="12036" width="12.42578125" style="520" customWidth="1"/>
    <col min="12037" max="12038" width="9.140625" style="520"/>
    <col min="12039" max="12040" width="15.7109375" style="520" customWidth="1"/>
    <col min="12041" max="12041" width="8.7109375" style="520" customWidth="1"/>
    <col min="12042" max="12289" width="9.140625" style="520"/>
    <col min="12290" max="12290" width="46.7109375" style="520" customWidth="1"/>
    <col min="12291" max="12291" width="18" style="520" customWidth="1"/>
    <col min="12292" max="12292" width="12.42578125" style="520" customWidth="1"/>
    <col min="12293" max="12294" width="9.140625" style="520"/>
    <col min="12295" max="12296" width="15.7109375" style="520" customWidth="1"/>
    <col min="12297" max="12297" width="8.7109375" style="520" customWidth="1"/>
    <col min="12298" max="12545" width="9.140625" style="520"/>
    <col min="12546" max="12546" width="46.7109375" style="520" customWidth="1"/>
    <col min="12547" max="12547" width="18" style="520" customWidth="1"/>
    <col min="12548" max="12548" width="12.42578125" style="520" customWidth="1"/>
    <col min="12549" max="12550" width="9.140625" style="520"/>
    <col min="12551" max="12552" width="15.7109375" style="520" customWidth="1"/>
    <col min="12553" max="12553" width="8.7109375" style="520" customWidth="1"/>
    <col min="12554" max="12801" width="9.140625" style="520"/>
    <col min="12802" max="12802" width="46.7109375" style="520" customWidth="1"/>
    <col min="12803" max="12803" width="18" style="520" customWidth="1"/>
    <col min="12804" max="12804" width="12.42578125" style="520" customWidth="1"/>
    <col min="12805" max="12806" width="9.140625" style="520"/>
    <col min="12807" max="12808" width="15.7109375" style="520" customWidth="1"/>
    <col min="12809" max="12809" width="8.7109375" style="520" customWidth="1"/>
    <col min="12810" max="13057" width="9.140625" style="520"/>
    <col min="13058" max="13058" width="46.7109375" style="520" customWidth="1"/>
    <col min="13059" max="13059" width="18" style="520" customWidth="1"/>
    <col min="13060" max="13060" width="12.42578125" style="520" customWidth="1"/>
    <col min="13061" max="13062" width="9.140625" style="520"/>
    <col min="13063" max="13064" width="15.7109375" style="520" customWidth="1"/>
    <col min="13065" max="13065" width="8.7109375" style="520" customWidth="1"/>
    <col min="13066" max="13313" width="9.140625" style="520"/>
    <col min="13314" max="13314" width="46.7109375" style="520" customWidth="1"/>
    <col min="13315" max="13315" width="18" style="520" customWidth="1"/>
    <col min="13316" max="13316" width="12.42578125" style="520" customWidth="1"/>
    <col min="13317" max="13318" width="9.140625" style="520"/>
    <col min="13319" max="13320" width="15.7109375" style="520" customWidth="1"/>
    <col min="13321" max="13321" width="8.7109375" style="520" customWidth="1"/>
    <col min="13322" max="13569" width="9.140625" style="520"/>
    <col min="13570" max="13570" width="46.7109375" style="520" customWidth="1"/>
    <col min="13571" max="13571" width="18" style="520" customWidth="1"/>
    <col min="13572" max="13572" width="12.42578125" style="520" customWidth="1"/>
    <col min="13573" max="13574" width="9.140625" style="520"/>
    <col min="13575" max="13576" width="15.7109375" style="520" customWidth="1"/>
    <col min="13577" max="13577" width="8.7109375" style="520" customWidth="1"/>
    <col min="13578" max="13825" width="9.140625" style="520"/>
    <col min="13826" max="13826" width="46.7109375" style="520" customWidth="1"/>
    <col min="13827" max="13827" width="18" style="520" customWidth="1"/>
    <col min="13828" max="13828" width="12.42578125" style="520" customWidth="1"/>
    <col min="13829" max="13830" width="9.140625" style="520"/>
    <col min="13831" max="13832" width="15.7109375" style="520" customWidth="1"/>
    <col min="13833" max="13833" width="8.7109375" style="520" customWidth="1"/>
    <col min="13834" max="14081" width="9.140625" style="520"/>
    <col min="14082" max="14082" width="46.7109375" style="520" customWidth="1"/>
    <col min="14083" max="14083" width="18" style="520" customWidth="1"/>
    <col min="14084" max="14084" width="12.42578125" style="520" customWidth="1"/>
    <col min="14085" max="14086" width="9.140625" style="520"/>
    <col min="14087" max="14088" width="15.7109375" style="520" customWidth="1"/>
    <col min="14089" max="14089" width="8.7109375" style="520" customWidth="1"/>
    <col min="14090" max="14337" width="9.140625" style="520"/>
    <col min="14338" max="14338" width="46.7109375" style="520" customWidth="1"/>
    <col min="14339" max="14339" width="18" style="520" customWidth="1"/>
    <col min="14340" max="14340" width="12.42578125" style="520" customWidth="1"/>
    <col min="14341" max="14342" width="9.140625" style="520"/>
    <col min="14343" max="14344" width="15.7109375" style="520" customWidth="1"/>
    <col min="14345" max="14345" width="8.7109375" style="520" customWidth="1"/>
    <col min="14346" max="14593" width="9.140625" style="520"/>
    <col min="14594" max="14594" width="46.7109375" style="520" customWidth="1"/>
    <col min="14595" max="14595" width="18" style="520" customWidth="1"/>
    <col min="14596" max="14596" width="12.42578125" style="520" customWidth="1"/>
    <col min="14597" max="14598" width="9.140625" style="520"/>
    <col min="14599" max="14600" width="15.7109375" style="520" customWidth="1"/>
    <col min="14601" max="14601" width="8.7109375" style="520" customWidth="1"/>
    <col min="14602" max="14849" width="9.140625" style="520"/>
    <col min="14850" max="14850" width="46.7109375" style="520" customWidth="1"/>
    <col min="14851" max="14851" width="18" style="520" customWidth="1"/>
    <col min="14852" max="14852" width="12.42578125" style="520" customWidth="1"/>
    <col min="14853" max="14854" width="9.140625" style="520"/>
    <col min="14855" max="14856" width="15.7109375" style="520" customWidth="1"/>
    <col min="14857" max="14857" width="8.7109375" style="520" customWidth="1"/>
    <col min="14858" max="15105" width="9.140625" style="520"/>
    <col min="15106" max="15106" width="46.7109375" style="520" customWidth="1"/>
    <col min="15107" max="15107" width="18" style="520" customWidth="1"/>
    <col min="15108" max="15108" width="12.42578125" style="520" customWidth="1"/>
    <col min="15109" max="15110" width="9.140625" style="520"/>
    <col min="15111" max="15112" width="15.7109375" style="520" customWidth="1"/>
    <col min="15113" max="15113" width="8.7109375" style="520" customWidth="1"/>
    <col min="15114" max="15361" width="9.140625" style="520"/>
    <col min="15362" max="15362" width="46.7109375" style="520" customWidth="1"/>
    <col min="15363" max="15363" width="18" style="520" customWidth="1"/>
    <col min="15364" max="15364" width="12.42578125" style="520" customWidth="1"/>
    <col min="15365" max="15366" width="9.140625" style="520"/>
    <col min="15367" max="15368" width="15.7109375" style="520" customWidth="1"/>
    <col min="15369" max="15369" width="8.7109375" style="520" customWidth="1"/>
    <col min="15370" max="15617" width="9.140625" style="520"/>
    <col min="15618" max="15618" width="46.7109375" style="520" customWidth="1"/>
    <col min="15619" max="15619" width="18" style="520" customWidth="1"/>
    <col min="15620" max="15620" width="12.42578125" style="520" customWidth="1"/>
    <col min="15621" max="15622" width="9.140625" style="520"/>
    <col min="15623" max="15624" width="15.7109375" style="520" customWidth="1"/>
    <col min="15625" max="15625" width="8.7109375" style="520" customWidth="1"/>
    <col min="15626" max="15873" width="9.140625" style="520"/>
    <col min="15874" max="15874" width="46.7109375" style="520" customWidth="1"/>
    <col min="15875" max="15875" width="18" style="520" customWidth="1"/>
    <col min="15876" max="15876" width="12.42578125" style="520" customWidth="1"/>
    <col min="15877" max="15878" width="9.140625" style="520"/>
    <col min="15879" max="15880" width="15.7109375" style="520" customWidth="1"/>
    <col min="15881" max="15881" width="8.7109375" style="520" customWidth="1"/>
    <col min="15882" max="16129" width="9.140625" style="520"/>
    <col min="16130" max="16130" width="46.7109375" style="520" customWidth="1"/>
    <col min="16131" max="16131" width="18" style="520" customWidth="1"/>
    <col min="16132" max="16132" width="12.42578125" style="520" customWidth="1"/>
    <col min="16133" max="16134" width="9.140625" style="520"/>
    <col min="16135" max="16136" width="15.7109375" style="520" customWidth="1"/>
    <col min="16137" max="16137" width="8.7109375" style="520" customWidth="1"/>
    <col min="16138" max="16384" width="9.140625" style="520"/>
  </cols>
  <sheetData>
    <row r="1" spans="1:8" ht="15" customHeight="1">
      <c r="A1" s="35" t="s">
        <v>206</v>
      </c>
      <c r="C1" s="35"/>
    </row>
    <row r="2" spans="1:8" ht="15" customHeight="1">
      <c r="A2" s="35"/>
      <c r="B2" s="574">
        <f>Rashodi!J10</f>
        <v>400000</v>
      </c>
      <c r="C2" s="575">
        <f>B2/D2*100</f>
        <v>0.92930282308258116</v>
      </c>
      <c r="D2" s="574">
        <f>Prihodi!F5-Prihodi!F49-Prihodi!F53-Prihodi!F59-Prihodi!F60+Prihodi!F62-Prihodi!F66-Prihodi!F77-Prihodi!F89-Prihodi!F94-Prihodi!F97-Prihodi!F109-Prihodi!F121-Prihodi!F126-Prihodi!F128-Prihodi!F138-Prihodi!F158+Prihodi!F195+Prihodi!F232</f>
        <v>43043020</v>
      </c>
      <c r="G2" s="57"/>
    </row>
    <row r="3" spans="1:8" ht="17.25" customHeight="1">
      <c r="A3" s="927" t="str">
        <f>CONCATENATE("     U tekuću pričuvu Vlade izdvojit će se ",TEXT(C2,"#.##0,00"),"% prihoda bez namjenskih prihoda, vlastitih prihoda i primitaka Proračuna.")</f>
        <v xml:space="preserve">     U tekuću pričuvu Vlade izdvojit će se 0,93% prihoda bez namjenskih prihoda, vlastitih prihoda i primitaka Proračuna.</v>
      </c>
      <c r="B3" s="928"/>
      <c r="C3" s="928"/>
      <c r="D3" s="929"/>
      <c r="E3" s="929"/>
      <c r="F3" s="929"/>
      <c r="G3" s="929"/>
      <c r="H3" s="929"/>
    </row>
    <row r="4" spans="1:8" ht="15" customHeight="1">
      <c r="G4" s="41"/>
      <c r="H4" s="41"/>
    </row>
    <row r="5" spans="1:8" ht="15" customHeight="1">
      <c r="A5" s="35" t="s">
        <v>207</v>
      </c>
      <c r="C5" s="35"/>
      <c r="G5" s="376" t="s">
        <v>837</v>
      </c>
    </row>
    <row r="6" spans="1:8" ht="6.75" customHeight="1">
      <c r="A6" s="35"/>
      <c r="C6" s="35"/>
      <c r="E6" s="127"/>
    </row>
    <row r="7" spans="1:8" ht="15" customHeight="1">
      <c r="A7" s="845" t="s">
        <v>856</v>
      </c>
      <c r="B7" s="926"/>
      <c r="C7" s="926"/>
      <c r="D7" s="825"/>
      <c r="E7" s="825"/>
      <c r="F7" s="825"/>
      <c r="G7" s="825"/>
      <c r="H7" s="825"/>
    </row>
    <row r="8" spans="1:8" ht="15" customHeight="1">
      <c r="A8" s="926"/>
      <c r="B8" s="926"/>
      <c r="C8" s="926"/>
      <c r="D8" s="825"/>
      <c r="E8" s="825"/>
      <c r="F8" s="825"/>
      <c r="G8" s="825"/>
      <c r="H8" s="825"/>
    </row>
    <row r="13" spans="1:8" ht="15" customHeight="1">
      <c r="A13" s="520" t="s">
        <v>164</v>
      </c>
    </row>
    <row r="14" spans="1:8" ht="15" customHeight="1">
      <c r="A14" s="520" t="s">
        <v>798</v>
      </c>
    </row>
    <row r="15" spans="1:8" ht="15" customHeight="1">
      <c r="A15" s="520" t="s">
        <v>165</v>
      </c>
    </row>
    <row r="16" spans="1:8" ht="15" customHeight="1">
      <c r="A16" s="520" t="s">
        <v>166</v>
      </c>
    </row>
    <row r="17" spans="1:8" ht="15" customHeight="1">
      <c r="A17" s="376" t="s">
        <v>799</v>
      </c>
    </row>
    <row r="18" spans="1:8" ht="15" customHeight="1">
      <c r="A18" s="376" t="s">
        <v>801</v>
      </c>
    </row>
    <row r="19" spans="1:8" ht="15" customHeight="1">
      <c r="G19" s="930" t="s">
        <v>800</v>
      </c>
      <c r="H19" s="825"/>
    </row>
    <row r="20" spans="1:8" ht="15" customHeight="1">
      <c r="G20" s="924"/>
      <c r="H20" s="924"/>
    </row>
    <row r="21" spans="1:8" ht="15" customHeight="1">
      <c r="G21" s="925" t="s">
        <v>795</v>
      </c>
      <c r="H21" s="924"/>
    </row>
    <row r="24" spans="1:8" ht="15" customHeight="1">
      <c r="C24" s="521"/>
    </row>
    <row r="27" spans="1:8" ht="15" customHeight="1">
      <c r="C27" s="521"/>
    </row>
    <row r="37" ht="12.75"/>
  </sheetData>
  <mergeCells count="5">
    <mergeCell ref="G20:H20"/>
    <mergeCell ref="G21:H21"/>
    <mergeCell ref="A7:H8"/>
    <mergeCell ref="A3:H3"/>
    <mergeCell ref="G19:H19"/>
  </mergeCells>
  <phoneticPr fontId="0" type="noConversion"/>
  <pageMargins left="0.9055118110236221" right="0.31496062992125984" top="0.35433070866141736" bottom="0.51181102362204722" header="0.39370078740157483" footer="0.31496062992125984"/>
  <pageSetup paperSize="9" scale="88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4"/>
  <dimension ref="A2:N250"/>
  <sheetViews>
    <sheetView topLeftCell="B226" workbookViewId="0">
      <selection activeCell="J235" sqref="J235"/>
    </sheetView>
  </sheetViews>
  <sheetFormatPr defaultRowHeight="14.25"/>
  <cols>
    <col min="1" max="1" width="0.42578125" style="530" hidden="1" customWidth="1"/>
    <col min="2" max="2" width="13.28515625" style="521" customWidth="1"/>
    <col min="3" max="3" width="65" style="530" customWidth="1"/>
    <col min="4" max="5" width="15.7109375" style="530" customWidth="1"/>
    <col min="6" max="6" width="19" style="297" customWidth="1"/>
    <col min="7" max="7" width="9" style="530" customWidth="1"/>
    <col min="8" max="8" width="11" style="121" customWidth="1"/>
    <col min="9" max="9" width="17.28515625" style="580" customWidth="1"/>
    <col min="10" max="10" width="19.85546875" style="121" customWidth="1"/>
    <col min="11" max="11" width="16.42578125" style="121" customWidth="1"/>
    <col min="12" max="12" width="16.42578125" style="530" bestFit="1" customWidth="1"/>
    <col min="13" max="16384" width="9.140625" style="530"/>
  </cols>
  <sheetData>
    <row r="2" spans="2:12" ht="18.75" customHeight="1" thickBot="1">
      <c r="B2" s="854" t="s">
        <v>75</v>
      </c>
      <c r="C2" s="854"/>
      <c r="D2" s="854"/>
      <c r="E2" s="854"/>
      <c r="F2" s="855"/>
      <c r="G2" s="855"/>
    </row>
    <row r="3" spans="2:12" ht="76.5" customHeight="1">
      <c r="B3" s="567" t="s">
        <v>152</v>
      </c>
      <c r="C3" s="568" t="s">
        <v>79</v>
      </c>
      <c r="D3" s="569" t="s">
        <v>894</v>
      </c>
      <c r="E3" s="569" t="s">
        <v>797</v>
      </c>
      <c r="F3" s="296" t="s">
        <v>851</v>
      </c>
      <c r="G3" s="570" t="s">
        <v>489</v>
      </c>
      <c r="H3" s="146"/>
      <c r="J3" s="378"/>
      <c r="K3" s="378"/>
      <c r="L3" s="376"/>
    </row>
    <row r="4" spans="2:12" ht="12.75" customHeight="1">
      <c r="B4" s="571">
        <v>1</v>
      </c>
      <c r="C4" s="572">
        <v>2</v>
      </c>
      <c r="D4" s="572">
        <v>3</v>
      </c>
      <c r="E4" s="572">
        <v>4</v>
      </c>
      <c r="F4" s="563">
        <v>6</v>
      </c>
      <c r="G4" s="573">
        <v>7</v>
      </c>
    </row>
    <row r="5" spans="2:12" s="33" customFormat="1" ht="17.25" customHeight="1">
      <c r="B5" s="742">
        <v>710000</v>
      </c>
      <c r="C5" s="743" t="s">
        <v>151</v>
      </c>
      <c r="D5" s="744">
        <f>D6+D16+D20+D28+D38+D47+D56</f>
        <v>38216270</v>
      </c>
      <c r="E5" s="744">
        <f>E6+E16+E20+E28+E38+E47+E56</f>
        <v>38216270</v>
      </c>
      <c r="F5" s="745">
        <f>F6+F16+F20+F28+F38+F47+F56</f>
        <v>38506740</v>
      </c>
      <c r="G5" s="746">
        <f t="shared" ref="G5:G68" si="0">IF(E5=0,"",F5/E5*100)</f>
        <v>100.76006894445743</v>
      </c>
      <c r="H5" s="147"/>
      <c r="I5" s="582"/>
      <c r="J5" s="122"/>
      <c r="K5" s="122"/>
    </row>
    <row r="6" spans="2:12" s="88" customFormat="1" ht="17.100000000000001" customHeight="1">
      <c r="B6" s="742">
        <v>711000</v>
      </c>
      <c r="C6" s="747" t="s">
        <v>155</v>
      </c>
      <c r="D6" s="748">
        <f>D7+D13</f>
        <v>3558680</v>
      </c>
      <c r="E6" s="748">
        <f>E7+E13</f>
        <v>3558680</v>
      </c>
      <c r="F6" s="749">
        <f>F7+F13</f>
        <v>3679540</v>
      </c>
      <c r="G6" s="750">
        <f t="shared" si="0"/>
        <v>103.3962030865377</v>
      </c>
      <c r="H6" s="148"/>
      <c r="I6" s="149"/>
      <c r="J6" s="123"/>
      <c r="K6" s="123"/>
    </row>
    <row r="7" spans="2:12" s="88" customFormat="1" ht="15" customHeight="1">
      <c r="B7" s="751">
        <v>711100</v>
      </c>
      <c r="C7" s="752" t="s">
        <v>208</v>
      </c>
      <c r="D7" s="753">
        <f>SUM(D8:D12)</f>
        <v>1190</v>
      </c>
      <c r="E7" s="753">
        <f>SUM(E8:E12)</f>
        <v>1190</v>
      </c>
      <c r="F7" s="754">
        <f>SUM(F8:F12)</f>
        <v>1090</v>
      </c>
      <c r="G7" s="755">
        <f t="shared" si="0"/>
        <v>91.596638655462186</v>
      </c>
      <c r="H7" s="148"/>
      <c r="I7" s="149"/>
      <c r="J7" s="123"/>
      <c r="K7" s="123"/>
    </row>
    <row r="8" spans="2:12" ht="15" customHeight="1">
      <c r="B8" s="756">
        <v>711111</v>
      </c>
      <c r="C8" s="757" t="s">
        <v>209</v>
      </c>
      <c r="D8" s="758">
        <v>1040</v>
      </c>
      <c r="E8" s="758">
        <v>1040</v>
      </c>
      <c r="F8" s="759">
        <v>950</v>
      </c>
      <c r="G8" s="760">
        <f t="shared" si="0"/>
        <v>91.34615384615384</v>
      </c>
      <c r="H8" s="148"/>
      <c r="J8" s="132"/>
    </row>
    <row r="9" spans="2:12" ht="15" customHeight="1">
      <c r="B9" s="756">
        <v>711112</v>
      </c>
      <c r="C9" s="757" t="s">
        <v>766</v>
      </c>
      <c r="D9" s="758">
        <v>90</v>
      </c>
      <c r="E9" s="758">
        <v>90</v>
      </c>
      <c r="F9" s="759">
        <v>90</v>
      </c>
      <c r="G9" s="760">
        <f t="shared" si="0"/>
        <v>100</v>
      </c>
      <c r="H9" s="148"/>
      <c r="J9" s="132"/>
    </row>
    <row r="10" spans="2:12" ht="15" customHeight="1">
      <c r="B10" s="756">
        <v>711113</v>
      </c>
      <c r="C10" s="757" t="s">
        <v>503</v>
      </c>
      <c r="D10" s="758">
        <v>10</v>
      </c>
      <c r="E10" s="758">
        <v>10</v>
      </c>
      <c r="F10" s="759">
        <v>10</v>
      </c>
      <c r="G10" s="760">
        <f t="shared" si="0"/>
        <v>100</v>
      </c>
      <c r="H10" s="148"/>
      <c r="J10" s="132"/>
    </row>
    <row r="11" spans="2:12" ht="15" customHeight="1">
      <c r="B11" s="756">
        <v>711114</v>
      </c>
      <c r="C11" s="757" t="s">
        <v>439</v>
      </c>
      <c r="D11" s="758">
        <v>30</v>
      </c>
      <c r="E11" s="758">
        <v>30</v>
      </c>
      <c r="F11" s="759">
        <v>30</v>
      </c>
      <c r="G11" s="760">
        <f t="shared" si="0"/>
        <v>100</v>
      </c>
      <c r="H11" s="148"/>
      <c r="J11" s="132"/>
    </row>
    <row r="12" spans="2:12" ht="15" customHeight="1">
      <c r="B12" s="756">
        <v>711115</v>
      </c>
      <c r="C12" s="757" t="s">
        <v>210</v>
      </c>
      <c r="D12" s="761">
        <v>20</v>
      </c>
      <c r="E12" s="761">
        <v>20</v>
      </c>
      <c r="F12" s="762">
        <v>10</v>
      </c>
      <c r="G12" s="760">
        <f t="shared" si="0"/>
        <v>50</v>
      </c>
      <c r="H12" s="148"/>
      <c r="J12" s="132"/>
    </row>
    <row r="13" spans="2:12" s="88" customFormat="1" ht="15" customHeight="1">
      <c r="B13" s="751">
        <v>711200</v>
      </c>
      <c r="C13" s="752" t="s">
        <v>213</v>
      </c>
      <c r="D13" s="753">
        <f>SUM(D14:D15)</f>
        <v>3557490</v>
      </c>
      <c r="E13" s="753">
        <f>SUM(E14:E15)</f>
        <v>3557490</v>
      </c>
      <c r="F13" s="754">
        <f>SUM(F14:F15)</f>
        <v>3678450</v>
      </c>
      <c r="G13" s="755">
        <f t="shared" si="0"/>
        <v>103.40015010583305</v>
      </c>
      <c r="H13" s="148"/>
      <c r="I13" s="149"/>
      <c r="J13" s="132"/>
      <c r="K13" s="123"/>
      <c r="L13" s="530"/>
    </row>
    <row r="14" spans="2:12" ht="15" customHeight="1">
      <c r="B14" s="756">
        <v>711211</v>
      </c>
      <c r="C14" s="757" t="s">
        <v>211</v>
      </c>
      <c r="D14" s="761">
        <f>3557490-57510</f>
        <v>3499980</v>
      </c>
      <c r="E14" s="761">
        <f>3557490-57510</f>
        <v>3499980</v>
      </c>
      <c r="F14" s="762">
        <v>3620380</v>
      </c>
      <c r="G14" s="760">
        <f t="shared" si="0"/>
        <v>103.44001965725518</v>
      </c>
      <c r="H14" s="148"/>
      <c r="J14" s="580"/>
      <c r="K14" s="581"/>
    </row>
    <row r="15" spans="2:12" ht="15" customHeight="1">
      <c r="B15" s="756">
        <v>711212</v>
      </c>
      <c r="C15" s="757" t="s">
        <v>212</v>
      </c>
      <c r="D15" s="761">
        <v>57510</v>
      </c>
      <c r="E15" s="761">
        <v>57510</v>
      </c>
      <c r="F15" s="762">
        <v>58070</v>
      </c>
      <c r="G15" s="760">
        <f t="shared" si="0"/>
        <v>100.97374369674839</v>
      </c>
      <c r="H15" s="148"/>
      <c r="J15" s="580"/>
      <c r="K15" s="581"/>
    </row>
    <row r="16" spans="2:12" s="88" customFormat="1" ht="17.100000000000001" customHeight="1">
      <c r="B16" s="742">
        <v>713000</v>
      </c>
      <c r="C16" s="743" t="s">
        <v>214</v>
      </c>
      <c r="D16" s="748">
        <f>D17</f>
        <v>850</v>
      </c>
      <c r="E16" s="748">
        <f>E17</f>
        <v>850</v>
      </c>
      <c r="F16" s="749">
        <f>F17</f>
        <v>890</v>
      </c>
      <c r="G16" s="750">
        <f t="shared" si="0"/>
        <v>104.70588235294119</v>
      </c>
      <c r="H16" s="148"/>
      <c r="I16" s="149"/>
      <c r="J16" s="132"/>
      <c r="K16" s="123"/>
      <c r="L16" s="530"/>
    </row>
    <row r="17" spans="2:12" s="88" customFormat="1" ht="15" customHeight="1">
      <c r="B17" s="751">
        <v>713100</v>
      </c>
      <c r="C17" s="763" t="s">
        <v>314</v>
      </c>
      <c r="D17" s="764">
        <f>SUM(D18:D19)</f>
        <v>850</v>
      </c>
      <c r="E17" s="764">
        <f>SUM(E18:E19)</f>
        <v>850</v>
      </c>
      <c r="F17" s="765">
        <f>SUM(F18:F19)</f>
        <v>890</v>
      </c>
      <c r="G17" s="755">
        <f t="shared" si="0"/>
        <v>104.70588235294119</v>
      </c>
      <c r="H17" s="148"/>
      <c r="I17" s="149"/>
      <c r="J17" s="132"/>
      <c r="K17" s="123"/>
      <c r="L17" s="530"/>
    </row>
    <row r="18" spans="2:12" ht="15" customHeight="1">
      <c r="B18" s="756">
        <v>713111</v>
      </c>
      <c r="C18" s="757" t="s">
        <v>215</v>
      </c>
      <c r="D18" s="758">
        <v>400</v>
      </c>
      <c r="E18" s="758">
        <v>400</v>
      </c>
      <c r="F18" s="759">
        <v>400</v>
      </c>
      <c r="G18" s="760">
        <f t="shared" si="0"/>
        <v>100</v>
      </c>
      <c r="H18" s="132"/>
      <c r="J18" s="132"/>
    </row>
    <row r="19" spans="2:12" ht="15" customHeight="1">
      <c r="B19" s="756">
        <v>713113</v>
      </c>
      <c r="C19" s="757" t="s">
        <v>216</v>
      </c>
      <c r="D19" s="758">
        <v>450</v>
      </c>
      <c r="E19" s="758">
        <v>450</v>
      </c>
      <c r="F19" s="759">
        <v>490</v>
      </c>
      <c r="G19" s="760">
        <f t="shared" si="0"/>
        <v>108.88888888888889</v>
      </c>
      <c r="H19" s="132"/>
      <c r="J19" s="132"/>
    </row>
    <row r="20" spans="2:12" s="88" customFormat="1" ht="17.100000000000001" customHeight="1">
      <c r="B20" s="742">
        <v>714000</v>
      </c>
      <c r="C20" s="743" t="s">
        <v>156</v>
      </c>
      <c r="D20" s="748">
        <f>D21</f>
        <v>359040</v>
      </c>
      <c r="E20" s="748">
        <f>E21</f>
        <v>359040</v>
      </c>
      <c r="F20" s="749">
        <f>F21</f>
        <v>384840</v>
      </c>
      <c r="G20" s="750">
        <f t="shared" si="0"/>
        <v>107.18582887700533</v>
      </c>
      <c r="H20" s="148"/>
      <c r="I20" s="149"/>
      <c r="J20" s="132"/>
      <c r="K20" s="123"/>
      <c r="L20" s="530"/>
    </row>
    <row r="21" spans="2:12" s="88" customFormat="1" ht="15" customHeight="1">
      <c r="B21" s="751">
        <v>714100</v>
      </c>
      <c r="C21" s="763" t="s">
        <v>313</v>
      </c>
      <c r="D21" s="764">
        <f>SUM(D22:D27)</f>
        <v>359040</v>
      </c>
      <c r="E21" s="764">
        <f>SUM(E22:E27)</f>
        <v>359040</v>
      </c>
      <c r="F21" s="765">
        <f>SUM(F22:F27)</f>
        <v>384840</v>
      </c>
      <c r="G21" s="755">
        <f t="shared" si="0"/>
        <v>107.18582887700533</v>
      </c>
      <c r="H21" s="148"/>
      <c r="I21" s="149"/>
      <c r="J21" s="132"/>
      <c r="K21" s="123"/>
      <c r="L21" s="530"/>
    </row>
    <row r="22" spans="2:12" ht="15" customHeight="1">
      <c r="B22" s="756">
        <v>714111</v>
      </c>
      <c r="C22" s="757" t="s">
        <v>217</v>
      </c>
      <c r="D22" s="758">
        <f>33080+5400</f>
        <v>38480</v>
      </c>
      <c r="E22" s="758">
        <f>33080+5400</f>
        <v>38480</v>
      </c>
      <c r="F22" s="759">
        <v>39540</v>
      </c>
      <c r="G22" s="760">
        <f t="shared" si="0"/>
        <v>102.75467775467774</v>
      </c>
      <c r="H22" s="132"/>
      <c r="J22" s="132"/>
    </row>
    <row r="23" spans="2:12" ht="15" customHeight="1">
      <c r="B23" s="756">
        <v>714112</v>
      </c>
      <c r="C23" s="757" t="s">
        <v>218</v>
      </c>
      <c r="D23" s="761">
        <f>7350+690</f>
        <v>8040</v>
      </c>
      <c r="E23" s="761">
        <f>7350+690</f>
        <v>8040</v>
      </c>
      <c r="F23" s="759">
        <v>8340</v>
      </c>
      <c r="G23" s="760">
        <f t="shared" si="0"/>
        <v>103.73134328358209</v>
      </c>
      <c r="H23" s="132"/>
      <c r="J23" s="132"/>
    </row>
    <row r="24" spans="2:12" ht="15" customHeight="1">
      <c r="B24" s="756">
        <v>714113</v>
      </c>
      <c r="C24" s="757" t="s">
        <v>219</v>
      </c>
      <c r="D24" s="758">
        <f>2680+800</f>
        <v>3480</v>
      </c>
      <c r="E24" s="758">
        <f>2680+800</f>
        <v>3480</v>
      </c>
      <c r="F24" s="759">
        <v>3550</v>
      </c>
      <c r="G24" s="760">
        <f t="shared" si="0"/>
        <v>102.01149425287358</v>
      </c>
      <c r="H24" s="132"/>
      <c r="J24" s="132"/>
    </row>
    <row r="25" spans="2:12" ht="15" customHeight="1">
      <c r="B25" s="756">
        <v>714121</v>
      </c>
      <c r="C25" s="757" t="s">
        <v>220</v>
      </c>
      <c r="D25" s="761">
        <f>10400+2110</f>
        <v>12510</v>
      </c>
      <c r="E25" s="761">
        <f>10400+2110</f>
        <v>12510</v>
      </c>
      <c r="F25" s="759">
        <v>12290</v>
      </c>
      <c r="G25" s="760">
        <f t="shared" si="0"/>
        <v>98.241406874500399</v>
      </c>
      <c r="H25" s="132"/>
      <c r="J25" s="132"/>
    </row>
    <row r="26" spans="2:12" ht="15" customHeight="1">
      <c r="B26" s="756">
        <v>714131</v>
      </c>
      <c r="C26" s="757" t="s">
        <v>221</v>
      </c>
      <c r="D26" s="761">
        <f>109340+22000</f>
        <v>131340</v>
      </c>
      <c r="E26" s="761">
        <f>109340+22000</f>
        <v>131340</v>
      </c>
      <c r="F26" s="759">
        <v>135290</v>
      </c>
      <c r="G26" s="760">
        <f t="shared" si="0"/>
        <v>103.00746155017512</v>
      </c>
      <c r="H26" s="132"/>
      <c r="J26" s="132"/>
    </row>
    <row r="27" spans="2:12" ht="15" customHeight="1">
      <c r="B27" s="756">
        <v>714132</v>
      </c>
      <c r="C27" s="757" t="s">
        <v>222</v>
      </c>
      <c r="D27" s="761">
        <f>150190+15000</f>
        <v>165190</v>
      </c>
      <c r="E27" s="761">
        <f>150190+15000</f>
        <v>165190</v>
      </c>
      <c r="F27" s="759">
        <v>185830</v>
      </c>
      <c r="G27" s="760">
        <f t="shared" si="0"/>
        <v>112.49470306919305</v>
      </c>
      <c r="H27" s="132"/>
      <c r="J27" s="132"/>
    </row>
    <row r="28" spans="2:12" s="88" customFormat="1" ht="25.5" customHeight="1">
      <c r="B28" s="742">
        <v>715000</v>
      </c>
      <c r="C28" s="747" t="s">
        <v>223</v>
      </c>
      <c r="D28" s="748">
        <f>D29+D34+D36</f>
        <v>7740</v>
      </c>
      <c r="E28" s="748">
        <f>E29+E34+E36</f>
        <v>7740</v>
      </c>
      <c r="F28" s="749">
        <f>F29+F34+F36</f>
        <v>7920</v>
      </c>
      <c r="G28" s="750">
        <f t="shared" si="0"/>
        <v>102.32558139534885</v>
      </c>
      <c r="H28" s="148"/>
      <c r="I28" s="149"/>
      <c r="J28" s="132"/>
      <c r="K28" s="123"/>
      <c r="L28" s="530"/>
    </row>
    <row r="29" spans="2:12" s="88" customFormat="1" ht="26.25" customHeight="1">
      <c r="B29" s="751">
        <v>715100</v>
      </c>
      <c r="C29" s="766" t="s">
        <v>227</v>
      </c>
      <c r="D29" s="753">
        <f>SUM(D30:D33)</f>
        <v>5310</v>
      </c>
      <c r="E29" s="753">
        <f>SUM(E30:E33)</f>
        <v>5310</v>
      </c>
      <c r="F29" s="754">
        <f>SUM(F30:F33)</f>
        <v>5290</v>
      </c>
      <c r="G29" s="755">
        <f t="shared" si="0"/>
        <v>99.623352165725038</v>
      </c>
      <c r="H29" s="148"/>
      <c r="I29" s="149"/>
      <c r="J29" s="132"/>
      <c r="K29" s="123"/>
      <c r="L29" s="530"/>
    </row>
    <row r="30" spans="2:12" ht="15" customHeight="1">
      <c r="B30" s="756">
        <v>715131</v>
      </c>
      <c r="C30" s="757" t="s">
        <v>224</v>
      </c>
      <c r="D30" s="758">
        <v>680</v>
      </c>
      <c r="E30" s="758">
        <v>680</v>
      </c>
      <c r="F30" s="759">
        <v>700</v>
      </c>
      <c r="G30" s="760">
        <f t="shared" si="0"/>
        <v>102.94117647058823</v>
      </c>
      <c r="H30" s="132"/>
      <c r="J30" s="132"/>
    </row>
    <row r="31" spans="2:12" ht="15" customHeight="1">
      <c r="B31" s="756">
        <v>715132</v>
      </c>
      <c r="C31" s="757" t="s">
        <v>440</v>
      </c>
      <c r="D31" s="758">
        <v>0</v>
      </c>
      <c r="E31" s="758">
        <v>0</v>
      </c>
      <c r="F31" s="759">
        <v>10</v>
      </c>
      <c r="G31" s="760" t="str">
        <f t="shared" si="0"/>
        <v/>
      </c>
      <c r="H31" s="132"/>
      <c r="J31" s="132"/>
    </row>
    <row r="32" spans="2:12" ht="15" customHeight="1">
      <c r="B32" s="756">
        <v>715137</v>
      </c>
      <c r="C32" s="757" t="s">
        <v>225</v>
      </c>
      <c r="D32" s="758">
        <v>0</v>
      </c>
      <c r="E32" s="758">
        <v>0</v>
      </c>
      <c r="F32" s="759">
        <v>10</v>
      </c>
      <c r="G32" s="760" t="str">
        <f t="shared" si="0"/>
        <v/>
      </c>
      <c r="H32" s="132"/>
      <c r="J32" s="132"/>
    </row>
    <row r="33" spans="2:12" ht="15" customHeight="1">
      <c r="B33" s="756">
        <v>715141</v>
      </c>
      <c r="C33" s="757" t="s">
        <v>226</v>
      </c>
      <c r="D33" s="758">
        <v>4630</v>
      </c>
      <c r="E33" s="758">
        <v>4630</v>
      </c>
      <c r="F33" s="759">
        <v>4570</v>
      </c>
      <c r="G33" s="760">
        <f t="shared" si="0"/>
        <v>98.704103671706264</v>
      </c>
      <c r="H33" s="132"/>
      <c r="J33" s="132"/>
    </row>
    <row r="34" spans="2:12" s="88" customFormat="1" ht="15" customHeight="1">
      <c r="B34" s="751">
        <v>715200</v>
      </c>
      <c r="C34" s="767" t="s">
        <v>228</v>
      </c>
      <c r="D34" s="753">
        <f>D35</f>
        <v>2250</v>
      </c>
      <c r="E34" s="753">
        <f>E35</f>
        <v>2250</v>
      </c>
      <c r="F34" s="754">
        <f>F35</f>
        <v>2460</v>
      </c>
      <c r="G34" s="755">
        <f t="shared" si="0"/>
        <v>109.33333333333333</v>
      </c>
      <c r="H34" s="148"/>
      <c r="I34" s="149"/>
      <c r="J34" s="132"/>
      <c r="K34" s="123"/>
      <c r="L34" s="530"/>
    </row>
    <row r="35" spans="2:12" ht="15" customHeight="1">
      <c r="B35" s="756">
        <v>715211</v>
      </c>
      <c r="C35" s="757" t="s">
        <v>229</v>
      </c>
      <c r="D35" s="758">
        <f>1850+400</f>
        <v>2250</v>
      </c>
      <c r="E35" s="758">
        <f>1850+400</f>
        <v>2250</v>
      </c>
      <c r="F35" s="759">
        <v>2460</v>
      </c>
      <c r="G35" s="760">
        <f t="shared" si="0"/>
        <v>109.33333333333333</v>
      </c>
      <c r="H35" s="132"/>
      <c r="J35" s="132"/>
    </row>
    <row r="36" spans="2:12" s="88" customFormat="1" ht="15" customHeight="1">
      <c r="B36" s="751">
        <v>715900</v>
      </c>
      <c r="C36" s="767" t="s">
        <v>230</v>
      </c>
      <c r="D36" s="753">
        <f>D37</f>
        <v>180</v>
      </c>
      <c r="E36" s="753">
        <f>E37</f>
        <v>180</v>
      </c>
      <c r="F36" s="754">
        <f>F37</f>
        <v>170</v>
      </c>
      <c r="G36" s="755">
        <f t="shared" si="0"/>
        <v>94.444444444444443</v>
      </c>
      <c r="H36" s="148"/>
      <c r="I36" s="149"/>
      <c r="J36" s="132"/>
      <c r="K36" s="123"/>
      <c r="L36" s="530"/>
    </row>
    <row r="37" spans="2:12" ht="27" customHeight="1">
      <c r="B37" s="756">
        <v>715914</v>
      </c>
      <c r="C37" s="768" t="s">
        <v>231</v>
      </c>
      <c r="D37" s="761">
        <v>180</v>
      </c>
      <c r="E37" s="761">
        <v>180</v>
      </c>
      <c r="F37" s="762">
        <v>170</v>
      </c>
      <c r="G37" s="760">
        <f t="shared" si="0"/>
        <v>94.444444444444443</v>
      </c>
      <c r="H37" s="132"/>
      <c r="J37" s="132"/>
    </row>
    <row r="38" spans="2:12" s="88" customFormat="1" ht="17.100000000000001" customHeight="1">
      <c r="B38" s="742">
        <v>716000</v>
      </c>
      <c r="C38" s="743" t="s">
        <v>157</v>
      </c>
      <c r="D38" s="748">
        <f>D39</f>
        <v>3269890</v>
      </c>
      <c r="E38" s="748">
        <f>E39</f>
        <v>3269890</v>
      </c>
      <c r="F38" s="749">
        <f>F39</f>
        <v>3526260</v>
      </c>
      <c r="G38" s="750">
        <f t="shared" si="0"/>
        <v>107.84032490389586</v>
      </c>
      <c r="H38" s="148"/>
      <c r="I38" s="583"/>
      <c r="J38" s="132"/>
      <c r="K38" s="123"/>
      <c r="L38" s="530"/>
    </row>
    <row r="39" spans="2:12" s="88" customFormat="1" ht="15" customHeight="1">
      <c r="B39" s="751">
        <v>716100</v>
      </c>
      <c r="C39" s="767" t="s">
        <v>232</v>
      </c>
      <c r="D39" s="753">
        <f>SUM(D40:D46)</f>
        <v>3269890</v>
      </c>
      <c r="E39" s="753">
        <f>SUM(E40:E46)</f>
        <v>3269890</v>
      </c>
      <c r="F39" s="754">
        <f>SUM(F40:F46)</f>
        <v>3526260</v>
      </c>
      <c r="G39" s="755">
        <f t="shared" si="0"/>
        <v>107.84032490389586</v>
      </c>
      <c r="H39" s="149"/>
      <c r="I39" s="579"/>
      <c r="J39" s="132"/>
      <c r="K39" s="123"/>
      <c r="L39" s="530"/>
    </row>
    <row r="40" spans="2:12" ht="15" customHeight="1">
      <c r="B40" s="756">
        <v>716111</v>
      </c>
      <c r="C40" s="757" t="s">
        <v>234</v>
      </c>
      <c r="D40" s="761">
        <f>1954690+392000</f>
        <v>2346690</v>
      </c>
      <c r="E40" s="761">
        <f>1954690+392000</f>
        <v>2346690</v>
      </c>
      <c r="F40" s="762">
        <v>2522390</v>
      </c>
      <c r="G40" s="760">
        <f t="shared" si="0"/>
        <v>107.48714146308205</v>
      </c>
      <c r="H40" s="148"/>
      <c r="I40" s="579"/>
      <c r="J40" s="580"/>
      <c r="K40" s="581"/>
    </row>
    <row r="41" spans="2:12" ht="15" customHeight="1">
      <c r="B41" s="756">
        <v>716112</v>
      </c>
      <c r="C41" s="757" t="s">
        <v>235</v>
      </c>
      <c r="D41" s="761">
        <v>142720</v>
      </c>
      <c r="E41" s="761">
        <v>142720</v>
      </c>
      <c r="F41" s="762">
        <v>169590</v>
      </c>
      <c r="G41" s="760">
        <f t="shared" si="0"/>
        <v>118.82707399103138</v>
      </c>
      <c r="H41" s="148"/>
      <c r="I41" s="579"/>
      <c r="J41" s="580"/>
      <c r="K41" s="581"/>
    </row>
    <row r="42" spans="2:12" ht="15" customHeight="1">
      <c r="B42" s="756">
        <v>716113</v>
      </c>
      <c r="C42" s="757" t="s">
        <v>236</v>
      </c>
      <c r="D42" s="761">
        <v>54580</v>
      </c>
      <c r="E42" s="761">
        <v>54580</v>
      </c>
      <c r="F42" s="762">
        <v>36190</v>
      </c>
      <c r="G42" s="760">
        <f t="shared" si="0"/>
        <v>66.306339318431668</v>
      </c>
      <c r="H42" s="148"/>
      <c r="I42" s="579"/>
      <c r="J42" s="580"/>
      <c r="K42" s="581"/>
    </row>
    <row r="43" spans="2:12" ht="15" customHeight="1">
      <c r="B43" s="756">
        <v>716114</v>
      </c>
      <c r="C43" s="757" t="s">
        <v>237</v>
      </c>
      <c r="D43" s="761">
        <v>450</v>
      </c>
      <c r="E43" s="761">
        <v>450</v>
      </c>
      <c r="F43" s="762">
        <v>450</v>
      </c>
      <c r="G43" s="760">
        <f t="shared" si="0"/>
        <v>100</v>
      </c>
      <c r="H43" s="148"/>
      <c r="I43" s="579"/>
      <c r="J43" s="580"/>
      <c r="K43" s="581"/>
    </row>
    <row r="44" spans="2:12" ht="25.5" customHeight="1">
      <c r="B44" s="756">
        <v>716115</v>
      </c>
      <c r="C44" s="768" t="s">
        <v>238</v>
      </c>
      <c r="D44" s="761">
        <f>299300+47000</f>
        <v>346300</v>
      </c>
      <c r="E44" s="761">
        <f>299300+47000</f>
        <v>346300</v>
      </c>
      <c r="F44" s="762">
        <v>384910</v>
      </c>
      <c r="G44" s="760">
        <f t="shared" si="0"/>
        <v>111.14929252093559</v>
      </c>
      <c r="H44" s="148"/>
      <c r="I44" s="579"/>
      <c r="J44" s="580"/>
      <c r="K44" s="581"/>
    </row>
    <row r="45" spans="2:12" ht="15" customHeight="1">
      <c r="B45" s="756">
        <v>716116</v>
      </c>
      <c r="C45" s="757" t="s">
        <v>239</v>
      </c>
      <c r="D45" s="761">
        <f>206120+40000</f>
        <v>246120</v>
      </c>
      <c r="E45" s="761">
        <f>206120+40000</f>
        <v>246120</v>
      </c>
      <c r="F45" s="762">
        <v>263160</v>
      </c>
      <c r="G45" s="760">
        <f t="shared" si="0"/>
        <v>106.92345197464653</v>
      </c>
      <c r="H45" s="148"/>
      <c r="I45" s="579"/>
      <c r="J45" s="580"/>
      <c r="K45" s="581"/>
    </row>
    <row r="46" spans="2:12" ht="15" customHeight="1">
      <c r="B46" s="756">
        <v>716117</v>
      </c>
      <c r="C46" s="757" t="s">
        <v>233</v>
      </c>
      <c r="D46" s="761">
        <f>126030+7000</f>
        <v>133030</v>
      </c>
      <c r="E46" s="761">
        <f>126030+7000</f>
        <v>133030</v>
      </c>
      <c r="F46" s="762">
        <v>149570</v>
      </c>
      <c r="G46" s="760">
        <f t="shared" si="0"/>
        <v>112.43328572502442</v>
      </c>
      <c r="H46" s="148"/>
      <c r="I46" s="579"/>
      <c r="J46" s="580"/>
      <c r="K46" s="581"/>
    </row>
    <row r="47" spans="2:12" s="88" customFormat="1" ht="17.100000000000001" customHeight="1">
      <c r="B47" s="742">
        <v>717000</v>
      </c>
      <c r="C47" s="743" t="s">
        <v>158</v>
      </c>
      <c r="D47" s="748">
        <f>D48</f>
        <v>31020060</v>
      </c>
      <c r="E47" s="748">
        <f>E48</f>
        <v>31020060</v>
      </c>
      <c r="F47" s="749">
        <f>F48</f>
        <v>30907260</v>
      </c>
      <c r="G47" s="750">
        <f t="shared" si="0"/>
        <v>99.636364339720814</v>
      </c>
      <c r="H47" s="148"/>
      <c r="I47" s="584"/>
      <c r="J47" s="132"/>
      <c r="K47" s="123"/>
      <c r="L47" s="530"/>
    </row>
    <row r="48" spans="2:12" s="88" customFormat="1" ht="15" customHeight="1">
      <c r="B48" s="751">
        <v>717100</v>
      </c>
      <c r="C48" s="767" t="s">
        <v>240</v>
      </c>
      <c r="D48" s="753">
        <f>D49+D52+D53</f>
        <v>31020060</v>
      </c>
      <c r="E48" s="753">
        <f>E49+E52+E53</f>
        <v>31020060</v>
      </c>
      <c r="F48" s="754">
        <f>F49+F52+F53</f>
        <v>30907260</v>
      </c>
      <c r="G48" s="755">
        <f t="shared" si="0"/>
        <v>99.636364339720814</v>
      </c>
      <c r="H48" s="148"/>
      <c r="I48" s="584"/>
      <c r="J48" s="132"/>
      <c r="K48" s="123"/>
      <c r="L48" s="530"/>
    </row>
    <row r="49" spans="1:12" ht="15" customHeight="1">
      <c r="B49" s="756">
        <v>717114</v>
      </c>
      <c r="C49" s="757" t="s">
        <v>504</v>
      </c>
      <c r="D49" s="761">
        <f t="shared" ref="D49:E49" si="1">SUM(D50:D51)</f>
        <v>320650</v>
      </c>
      <c r="E49" s="761">
        <f t="shared" si="1"/>
        <v>320650</v>
      </c>
      <c r="F49" s="762">
        <f t="shared" ref="F49" si="2">SUM(F50:F51)</f>
        <v>331570</v>
      </c>
      <c r="G49" s="760">
        <f t="shared" si="0"/>
        <v>103.40558241072821</v>
      </c>
      <c r="H49" s="132"/>
      <c r="I49" s="579"/>
      <c r="J49" s="132"/>
    </row>
    <row r="50" spans="1:12" ht="15" customHeight="1">
      <c r="B50" s="769"/>
      <c r="C50" s="770" t="s">
        <v>828</v>
      </c>
      <c r="D50" s="771">
        <v>0</v>
      </c>
      <c r="E50" s="771">
        <v>0</v>
      </c>
      <c r="F50" s="772">
        <v>0</v>
      </c>
      <c r="G50" s="773" t="str">
        <f t="shared" si="0"/>
        <v/>
      </c>
      <c r="H50" s="132"/>
      <c r="I50" s="579"/>
      <c r="J50" s="132"/>
    </row>
    <row r="51" spans="1:12" ht="15" customHeight="1">
      <c r="B51" s="769"/>
      <c r="C51" s="770" t="s">
        <v>767</v>
      </c>
      <c r="D51" s="771">
        <v>320650</v>
      </c>
      <c r="E51" s="771">
        <v>320650</v>
      </c>
      <c r="F51" s="772">
        <v>331570</v>
      </c>
      <c r="G51" s="773">
        <f t="shared" si="0"/>
        <v>103.40558241072821</v>
      </c>
      <c r="H51" s="132"/>
      <c r="I51" s="579"/>
      <c r="J51" s="132"/>
    </row>
    <row r="52" spans="1:12" ht="15" customHeight="1">
      <c r="B52" s="756">
        <v>717121</v>
      </c>
      <c r="C52" s="757" t="s">
        <v>241</v>
      </c>
      <c r="D52" s="761">
        <v>30028040</v>
      </c>
      <c r="E52" s="761">
        <v>30028040</v>
      </c>
      <c r="F52" s="762">
        <f>30491100-1300000+40000</f>
        <v>29231100</v>
      </c>
      <c r="G52" s="760">
        <f t="shared" si="0"/>
        <v>97.346013925650823</v>
      </c>
      <c r="H52" s="132"/>
      <c r="I52" s="579"/>
      <c r="J52" s="132"/>
    </row>
    <row r="53" spans="1:12" ht="15" customHeight="1">
      <c r="B53" s="756">
        <v>717131</v>
      </c>
      <c r="C53" s="757" t="s">
        <v>242</v>
      </c>
      <c r="D53" s="761">
        <f t="shared" ref="D53:E53" si="3">D54+D55</f>
        <v>671370</v>
      </c>
      <c r="E53" s="761">
        <f t="shared" si="3"/>
        <v>671370</v>
      </c>
      <c r="F53" s="762">
        <f t="shared" ref="F53" si="4">F54+F55</f>
        <v>1344590</v>
      </c>
      <c r="G53" s="760">
        <f t="shared" si="0"/>
        <v>200.27555595275334</v>
      </c>
      <c r="H53" s="132"/>
      <c r="I53" s="584"/>
      <c r="J53" s="132"/>
    </row>
    <row r="54" spans="1:12" ht="15" customHeight="1">
      <c r="B54" s="769"/>
      <c r="C54" s="770" t="s">
        <v>829</v>
      </c>
      <c r="D54" s="771">
        <v>0</v>
      </c>
      <c r="E54" s="771">
        <v>0</v>
      </c>
      <c r="F54" s="772">
        <f>2030000-1569900</f>
        <v>460100</v>
      </c>
      <c r="G54" s="773" t="str">
        <f t="shared" si="0"/>
        <v/>
      </c>
      <c r="H54" s="132"/>
      <c r="I54" s="579"/>
      <c r="J54" s="132"/>
    </row>
    <row r="55" spans="1:12" ht="15" customHeight="1">
      <c r="B55" s="769"/>
      <c r="C55" s="770" t="s">
        <v>768</v>
      </c>
      <c r="D55" s="771">
        <f>884480-213110</f>
        <v>671370</v>
      </c>
      <c r="E55" s="771">
        <f>884480-213110</f>
        <v>671370</v>
      </c>
      <c r="F55" s="772">
        <v>884490</v>
      </c>
      <c r="G55" s="773">
        <f t="shared" si="0"/>
        <v>131.74404575718307</v>
      </c>
      <c r="H55" s="132"/>
      <c r="I55" s="579"/>
      <c r="J55" s="132"/>
    </row>
    <row r="56" spans="1:12" s="88" customFormat="1" ht="17.100000000000001" customHeight="1">
      <c r="B56" s="742">
        <v>719000</v>
      </c>
      <c r="C56" s="743" t="s">
        <v>159</v>
      </c>
      <c r="D56" s="748">
        <f>D57</f>
        <v>10</v>
      </c>
      <c r="E56" s="748">
        <f>E57</f>
        <v>10</v>
      </c>
      <c r="F56" s="749">
        <f>F57</f>
        <v>30</v>
      </c>
      <c r="G56" s="750">
        <f t="shared" si="0"/>
        <v>300</v>
      </c>
      <c r="H56" s="148"/>
      <c r="I56" s="585"/>
      <c r="J56" s="132"/>
      <c r="K56" s="123"/>
      <c r="L56" s="530"/>
    </row>
    <row r="57" spans="1:12" s="88" customFormat="1" ht="15" customHeight="1">
      <c r="B57" s="751">
        <v>719100</v>
      </c>
      <c r="C57" s="767" t="s">
        <v>243</v>
      </c>
      <c r="D57" s="753">
        <f>SUM(D58:D60)</f>
        <v>10</v>
      </c>
      <c r="E57" s="753">
        <f>SUM(E58:E60)</f>
        <v>10</v>
      </c>
      <c r="F57" s="754">
        <f>SUM(F58:F60)</f>
        <v>30</v>
      </c>
      <c r="G57" s="755">
        <f t="shared" si="0"/>
        <v>300</v>
      </c>
      <c r="H57" s="148"/>
      <c r="I57" s="584"/>
      <c r="J57" s="132"/>
      <c r="K57" s="123"/>
      <c r="L57" s="530"/>
    </row>
    <row r="58" spans="1:12" ht="15" customHeight="1" thickBot="1">
      <c r="A58" s="104"/>
      <c r="B58" s="756">
        <v>719111</v>
      </c>
      <c r="C58" s="757" t="s">
        <v>243</v>
      </c>
      <c r="D58" s="758">
        <v>0</v>
      </c>
      <c r="E58" s="758">
        <v>0</v>
      </c>
      <c r="F58" s="759">
        <v>10</v>
      </c>
      <c r="G58" s="760" t="str">
        <f t="shared" si="0"/>
        <v/>
      </c>
      <c r="H58" s="132"/>
      <c r="I58" s="584"/>
      <c r="J58" s="132"/>
    </row>
    <row r="59" spans="1:12" ht="15" customHeight="1">
      <c r="B59" s="774">
        <v>719114</v>
      </c>
      <c r="C59" s="775" t="s">
        <v>244</v>
      </c>
      <c r="D59" s="776">
        <v>0</v>
      </c>
      <c r="E59" s="776">
        <v>0</v>
      </c>
      <c r="F59" s="777">
        <v>10</v>
      </c>
      <c r="G59" s="778" t="str">
        <f t="shared" si="0"/>
        <v/>
      </c>
      <c r="I59" s="584"/>
      <c r="J59" s="132"/>
    </row>
    <row r="60" spans="1:12" ht="25.5">
      <c r="B60" s="756">
        <v>719115</v>
      </c>
      <c r="C60" s="768" t="s">
        <v>245</v>
      </c>
      <c r="D60" s="761">
        <v>10</v>
      </c>
      <c r="E60" s="761">
        <v>10</v>
      </c>
      <c r="F60" s="762">
        <v>10</v>
      </c>
      <c r="G60" s="779">
        <f t="shared" si="0"/>
        <v>100</v>
      </c>
      <c r="H60" s="150"/>
      <c r="I60" s="584"/>
      <c r="J60" s="132"/>
    </row>
    <row r="61" spans="1:12">
      <c r="B61" s="756"/>
      <c r="C61" s="780"/>
      <c r="D61" s="758"/>
      <c r="E61" s="758"/>
      <c r="F61" s="759"/>
      <c r="G61" s="779" t="str">
        <f t="shared" si="0"/>
        <v/>
      </c>
      <c r="H61" s="150"/>
      <c r="I61" s="584"/>
      <c r="J61" s="132"/>
    </row>
    <row r="62" spans="1:12" ht="17.100000000000001" customHeight="1">
      <c r="B62" s="742">
        <v>720000</v>
      </c>
      <c r="C62" s="743" t="s">
        <v>154</v>
      </c>
      <c r="D62" s="744">
        <f>D63+D81+D166</f>
        <v>2982770</v>
      </c>
      <c r="E62" s="744">
        <f>E63+E81+E166</f>
        <v>2982770</v>
      </c>
      <c r="F62" s="745">
        <f>F63+F81+F166</f>
        <v>3296100</v>
      </c>
      <c r="G62" s="746">
        <f t="shared" si="0"/>
        <v>110.50466512671109</v>
      </c>
      <c r="H62" s="151"/>
      <c r="I62" s="584"/>
      <c r="J62" s="132"/>
    </row>
    <row r="63" spans="1:12" ht="25.5">
      <c r="B63" s="742">
        <v>721000</v>
      </c>
      <c r="C63" s="781" t="s">
        <v>177</v>
      </c>
      <c r="D63" s="748">
        <f t="shared" ref="D63:E63" si="5">D64+D68+D72+D75+D77+D79</f>
        <v>109580</v>
      </c>
      <c r="E63" s="748">
        <f t="shared" si="5"/>
        <v>109580</v>
      </c>
      <c r="F63" s="749">
        <f t="shared" ref="F63" si="6">F64+F68+F72+F75+F77+F79</f>
        <v>105740</v>
      </c>
      <c r="G63" s="750">
        <f t="shared" si="0"/>
        <v>96.495710896148935</v>
      </c>
      <c r="I63" s="584"/>
      <c r="J63" s="132"/>
    </row>
    <row r="64" spans="1:12" ht="15" customHeight="1">
      <c r="B64" s="751">
        <v>721100</v>
      </c>
      <c r="C64" s="767" t="s">
        <v>246</v>
      </c>
      <c r="D64" s="753">
        <f t="shared" ref="D64:F64" si="7">SUM(D65:D67)</f>
        <v>90300</v>
      </c>
      <c r="E64" s="753">
        <f t="shared" ref="E64" si="8">SUM(E65:E67)</f>
        <v>90300</v>
      </c>
      <c r="F64" s="754">
        <f t="shared" si="7"/>
        <v>90310</v>
      </c>
      <c r="G64" s="782">
        <f t="shared" si="0"/>
        <v>100.01107419712072</v>
      </c>
      <c r="I64" s="584"/>
      <c r="J64" s="132"/>
    </row>
    <row r="65" spans="2:11" ht="15" customHeight="1">
      <c r="B65" s="756">
        <v>721112</v>
      </c>
      <c r="C65" s="757" t="s">
        <v>247</v>
      </c>
      <c r="D65" s="761">
        <v>300</v>
      </c>
      <c r="E65" s="761">
        <v>300</v>
      </c>
      <c r="F65" s="762">
        <v>300</v>
      </c>
      <c r="G65" s="779">
        <f t="shared" si="0"/>
        <v>100</v>
      </c>
      <c r="H65" s="378"/>
      <c r="I65" s="584"/>
      <c r="J65" s="132"/>
    </row>
    <row r="66" spans="2:11" ht="15" customHeight="1">
      <c r="B66" s="756">
        <v>721121</v>
      </c>
      <c r="C66" s="757" t="s">
        <v>620</v>
      </c>
      <c r="D66" s="761">
        <v>90000</v>
      </c>
      <c r="E66" s="761">
        <v>90000</v>
      </c>
      <c r="F66" s="762">
        <v>90000</v>
      </c>
      <c r="G66" s="779">
        <f t="shared" si="0"/>
        <v>100</v>
      </c>
      <c r="H66" s="378"/>
      <c r="I66" s="584"/>
      <c r="J66" s="132"/>
    </row>
    <row r="67" spans="2:11" ht="15" customHeight="1">
      <c r="B67" s="756">
        <v>721123</v>
      </c>
      <c r="C67" s="757" t="s">
        <v>769</v>
      </c>
      <c r="D67" s="761">
        <v>0</v>
      </c>
      <c r="E67" s="761">
        <v>0</v>
      </c>
      <c r="F67" s="762">
        <v>10</v>
      </c>
      <c r="G67" s="779" t="str">
        <f t="shared" si="0"/>
        <v/>
      </c>
      <c r="H67" s="378"/>
      <c r="I67" s="584"/>
      <c r="J67" s="132"/>
    </row>
    <row r="68" spans="2:11" ht="15" customHeight="1">
      <c r="B68" s="751">
        <v>721200</v>
      </c>
      <c r="C68" s="767" t="s">
        <v>248</v>
      </c>
      <c r="D68" s="753">
        <f>SUM(D69:D71)</f>
        <v>15280</v>
      </c>
      <c r="E68" s="753">
        <f>SUM(E69:E71)</f>
        <v>15280</v>
      </c>
      <c r="F68" s="754">
        <f>SUM(F69:F71)</f>
        <v>15300</v>
      </c>
      <c r="G68" s="783">
        <f t="shared" si="0"/>
        <v>100.13089005235602</v>
      </c>
      <c r="I68" s="584"/>
      <c r="J68" s="132"/>
    </row>
    <row r="69" spans="2:11" ht="15" customHeight="1">
      <c r="B69" s="756">
        <v>721211</v>
      </c>
      <c r="C69" s="757" t="s">
        <v>249</v>
      </c>
      <c r="D69" s="758">
        <v>400</v>
      </c>
      <c r="E69" s="758">
        <v>400</v>
      </c>
      <c r="F69" s="759">
        <v>420</v>
      </c>
      <c r="G69" s="779">
        <f t="shared" ref="G69:G134" si="9">IF(E69=0,"",F69/E69*100)</f>
        <v>105</v>
      </c>
      <c r="I69" s="584"/>
      <c r="J69" s="132"/>
    </row>
    <row r="70" spans="2:11" ht="15" customHeight="1">
      <c r="B70" s="756">
        <v>721225</v>
      </c>
      <c r="C70" s="757" t="s">
        <v>487</v>
      </c>
      <c r="D70" s="761">
        <v>8010</v>
      </c>
      <c r="E70" s="761">
        <v>8010</v>
      </c>
      <c r="F70" s="762">
        <v>8010</v>
      </c>
      <c r="G70" s="779">
        <f t="shared" si="9"/>
        <v>100</v>
      </c>
      <c r="I70" s="584"/>
      <c r="J70" s="132"/>
    </row>
    <row r="71" spans="2:11" ht="15" customHeight="1">
      <c r="B71" s="756">
        <v>721227</v>
      </c>
      <c r="C71" s="757" t="s">
        <v>505</v>
      </c>
      <c r="D71" s="761">
        <v>6870</v>
      </c>
      <c r="E71" s="761">
        <v>6870</v>
      </c>
      <c r="F71" s="762">
        <v>6870</v>
      </c>
      <c r="G71" s="779">
        <f t="shared" si="9"/>
        <v>100</v>
      </c>
      <c r="I71" s="584"/>
      <c r="J71" s="132"/>
    </row>
    <row r="72" spans="2:11" ht="15" customHeight="1">
      <c r="B72" s="751">
        <v>721300</v>
      </c>
      <c r="C72" s="767" t="s">
        <v>250</v>
      </c>
      <c r="D72" s="753">
        <f>SUM(D73:D74)</f>
        <v>0</v>
      </c>
      <c r="E72" s="753">
        <f>SUM(E73:E74)</f>
        <v>0</v>
      </c>
      <c r="F72" s="754">
        <f>SUM(F73:F74)</f>
        <v>20</v>
      </c>
      <c r="G72" s="783" t="str">
        <f t="shared" si="9"/>
        <v/>
      </c>
      <c r="I72" s="584"/>
      <c r="J72" s="132"/>
    </row>
    <row r="73" spans="2:11" ht="15" customHeight="1">
      <c r="B73" s="756">
        <v>721311</v>
      </c>
      <c r="C73" s="757" t="s">
        <v>626</v>
      </c>
      <c r="D73" s="758">
        <v>0</v>
      </c>
      <c r="E73" s="758">
        <v>0</v>
      </c>
      <c r="F73" s="759">
        <v>10</v>
      </c>
      <c r="G73" s="779" t="str">
        <f t="shared" si="9"/>
        <v/>
      </c>
      <c r="I73" s="584"/>
      <c r="J73" s="132"/>
    </row>
    <row r="74" spans="2:11" ht="15" customHeight="1">
      <c r="B74" s="756">
        <v>721312</v>
      </c>
      <c r="C74" s="757" t="s">
        <v>251</v>
      </c>
      <c r="D74" s="758">
        <v>0</v>
      </c>
      <c r="E74" s="758">
        <v>0</v>
      </c>
      <c r="F74" s="759">
        <v>10</v>
      </c>
      <c r="G74" s="779" t="str">
        <f t="shared" si="9"/>
        <v/>
      </c>
      <c r="I74" s="584"/>
      <c r="J74" s="132"/>
    </row>
    <row r="75" spans="2:11" ht="15" customHeight="1">
      <c r="B75" s="751">
        <v>721500</v>
      </c>
      <c r="C75" s="767" t="s">
        <v>252</v>
      </c>
      <c r="D75" s="753">
        <f>D76</f>
        <v>120</v>
      </c>
      <c r="E75" s="753">
        <f>E76</f>
        <v>120</v>
      </c>
      <c r="F75" s="754">
        <f>F76</f>
        <v>100</v>
      </c>
      <c r="G75" s="783">
        <f t="shared" si="9"/>
        <v>83.333333333333343</v>
      </c>
      <c r="I75" s="584"/>
      <c r="J75" s="132"/>
    </row>
    <row r="76" spans="2:11" ht="15" customHeight="1">
      <c r="B76" s="756">
        <v>721511</v>
      </c>
      <c r="C76" s="757" t="s">
        <v>252</v>
      </c>
      <c r="D76" s="758">
        <v>120</v>
      </c>
      <c r="E76" s="758">
        <v>120</v>
      </c>
      <c r="F76" s="759">
        <v>100</v>
      </c>
      <c r="G76" s="779">
        <f t="shared" si="9"/>
        <v>83.333333333333343</v>
      </c>
      <c r="I76" s="584"/>
      <c r="J76" s="132"/>
    </row>
    <row r="77" spans="2:11" s="564" customFormat="1" ht="15" customHeight="1">
      <c r="B77" s="751">
        <v>721600</v>
      </c>
      <c r="C77" s="767" t="s">
        <v>816</v>
      </c>
      <c r="D77" s="753">
        <f>D78</f>
        <v>3880</v>
      </c>
      <c r="E77" s="753">
        <f>E78</f>
        <v>3880</v>
      </c>
      <c r="F77" s="754">
        <f>F78</f>
        <v>0</v>
      </c>
      <c r="G77" s="783">
        <f t="shared" ref="G77:G78" si="10">IF(E77=0,"",F77/E77*100)</f>
        <v>0</v>
      </c>
      <c r="H77" s="121"/>
      <c r="I77" s="584"/>
      <c r="J77" s="132"/>
      <c r="K77" s="121"/>
    </row>
    <row r="78" spans="2:11" s="564" customFormat="1" ht="15" customHeight="1">
      <c r="B78" s="756">
        <v>721613</v>
      </c>
      <c r="C78" s="757" t="s">
        <v>817</v>
      </c>
      <c r="D78" s="761">
        <v>3880</v>
      </c>
      <c r="E78" s="761">
        <v>3880</v>
      </c>
      <c r="F78" s="762">
        <v>0</v>
      </c>
      <c r="G78" s="779">
        <f t="shared" si="10"/>
        <v>0</v>
      </c>
      <c r="H78" s="121"/>
      <c r="I78" s="584"/>
      <c r="J78" s="132"/>
      <c r="K78" s="121"/>
    </row>
    <row r="79" spans="2:11" ht="15" customHeight="1">
      <c r="B79" s="751">
        <v>721700</v>
      </c>
      <c r="C79" s="767" t="s">
        <v>771</v>
      </c>
      <c r="D79" s="753">
        <f>D80</f>
        <v>0</v>
      </c>
      <c r="E79" s="753">
        <f>E80</f>
        <v>0</v>
      </c>
      <c r="F79" s="754">
        <f>F80</f>
        <v>10</v>
      </c>
      <c r="G79" s="783" t="str">
        <f t="shared" si="9"/>
        <v/>
      </c>
      <c r="I79" s="584"/>
      <c r="J79" s="132"/>
    </row>
    <row r="80" spans="2:11" ht="15" customHeight="1">
      <c r="B80" s="756">
        <v>721712</v>
      </c>
      <c r="C80" s="757" t="s">
        <v>772</v>
      </c>
      <c r="D80" s="758">
        <v>0</v>
      </c>
      <c r="E80" s="758">
        <v>0</v>
      </c>
      <c r="F80" s="759">
        <v>10</v>
      </c>
      <c r="G80" s="779" t="str">
        <f t="shared" si="9"/>
        <v/>
      </c>
      <c r="I80" s="584"/>
      <c r="J80" s="132"/>
    </row>
    <row r="81" spans="2:14" ht="15">
      <c r="B81" s="742">
        <v>722000</v>
      </c>
      <c r="C81" s="747" t="s">
        <v>315</v>
      </c>
      <c r="D81" s="744">
        <f>D82+D84+D86+D103+D153+D161</f>
        <v>2161720</v>
      </c>
      <c r="E81" s="744">
        <f>E82+E84+E86+E103+E153+E161</f>
        <v>2161720</v>
      </c>
      <c r="F81" s="745">
        <f>F82+F84+F86+F103+F153+F161</f>
        <v>2463130</v>
      </c>
      <c r="G81" s="750">
        <f t="shared" si="9"/>
        <v>113.94306385655865</v>
      </c>
      <c r="I81" s="584"/>
      <c r="J81" s="132"/>
    </row>
    <row r="82" spans="2:14" ht="15" customHeight="1">
      <c r="B82" s="751">
        <v>722100</v>
      </c>
      <c r="C82" s="784" t="s">
        <v>253</v>
      </c>
      <c r="D82" s="764">
        <f>D83</f>
        <v>115120</v>
      </c>
      <c r="E82" s="764">
        <f>E83</f>
        <v>115120</v>
      </c>
      <c r="F82" s="765">
        <f>F83</f>
        <v>117250</v>
      </c>
      <c r="G82" s="783">
        <f t="shared" si="9"/>
        <v>101.85024322446144</v>
      </c>
      <c r="I82" s="584"/>
      <c r="J82" s="132"/>
    </row>
    <row r="83" spans="2:14" ht="15" customHeight="1">
      <c r="B83" s="756">
        <v>722121</v>
      </c>
      <c r="C83" s="785" t="s">
        <v>254</v>
      </c>
      <c r="D83" s="761">
        <f>93120+22000</f>
        <v>115120</v>
      </c>
      <c r="E83" s="761">
        <f>93120+22000</f>
        <v>115120</v>
      </c>
      <c r="F83" s="762">
        <v>117250</v>
      </c>
      <c r="G83" s="779">
        <f t="shared" si="9"/>
        <v>101.85024322446144</v>
      </c>
      <c r="I83" s="584"/>
      <c r="J83" s="132"/>
    </row>
    <row r="84" spans="2:14" ht="15" customHeight="1">
      <c r="B84" s="751">
        <v>722200</v>
      </c>
      <c r="C84" s="784" t="s">
        <v>255</v>
      </c>
      <c r="D84" s="764">
        <f>D85</f>
        <v>389950</v>
      </c>
      <c r="E84" s="764">
        <f>E85</f>
        <v>389950</v>
      </c>
      <c r="F84" s="765">
        <f>F85</f>
        <v>387030</v>
      </c>
      <c r="G84" s="783">
        <f t="shared" si="9"/>
        <v>99.251186049493526</v>
      </c>
      <c r="I84" s="584"/>
      <c r="J84" s="132"/>
      <c r="K84" s="378"/>
    </row>
    <row r="85" spans="2:14" ht="15" customHeight="1">
      <c r="B85" s="756">
        <v>722221</v>
      </c>
      <c r="C85" s="785" t="s">
        <v>256</v>
      </c>
      <c r="D85" s="761">
        <f>309950+80000</f>
        <v>389950</v>
      </c>
      <c r="E85" s="761">
        <f>309950+80000</f>
        <v>389950</v>
      </c>
      <c r="F85" s="762">
        <v>387030</v>
      </c>
      <c r="G85" s="779">
        <f t="shared" si="9"/>
        <v>99.251186049493526</v>
      </c>
      <c r="I85" s="584"/>
      <c r="J85" s="132"/>
    </row>
    <row r="86" spans="2:14" ht="15" customHeight="1">
      <c r="B86" s="751">
        <v>722400</v>
      </c>
      <c r="C86" s="784" t="s">
        <v>257</v>
      </c>
      <c r="D86" s="764">
        <f>D87+D94+D97</f>
        <v>197450</v>
      </c>
      <c r="E86" s="764">
        <f>E87+E94+E97</f>
        <v>197450</v>
      </c>
      <c r="F86" s="765">
        <f>F87+F94+F97</f>
        <v>402840</v>
      </c>
      <c r="G86" s="783">
        <f t="shared" si="9"/>
        <v>204.02127120790072</v>
      </c>
      <c r="I86" s="584"/>
      <c r="J86" s="132"/>
      <c r="N86" s="57"/>
    </row>
    <row r="87" spans="2:14" ht="15" customHeight="1">
      <c r="B87" s="786">
        <v>722420</v>
      </c>
      <c r="C87" s="787" t="s">
        <v>258</v>
      </c>
      <c r="D87" s="788">
        <f>D88+D89+D92+D93</f>
        <v>72650</v>
      </c>
      <c r="E87" s="788">
        <f>E88+E89+E92+E93</f>
        <v>72650</v>
      </c>
      <c r="F87" s="789">
        <f>F88+F89+F92+F93</f>
        <v>273040</v>
      </c>
      <c r="G87" s="783">
        <f t="shared" si="9"/>
        <v>375.82931865106673</v>
      </c>
      <c r="I87" s="584"/>
      <c r="J87" s="132"/>
    </row>
    <row r="88" spans="2:14" ht="15" customHeight="1">
      <c r="B88" s="756">
        <v>722421</v>
      </c>
      <c r="C88" s="785" t="s">
        <v>258</v>
      </c>
      <c r="D88" s="761">
        <v>4300</v>
      </c>
      <c r="E88" s="761">
        <v>4300</v>
      </c>
      <c r="F88" s="762">
        <v>4300</v>
      </c>
      <c r="G88" s="779">
        <f t="shared" si="9"/>
        <v>100</v>
      </c>
      <c r="I88" s="584"/>
      <c r="J88" s="132"/>
    </row>
    <row r="89" spans="2:14" ht="15" customHeight="1">
      <c r="B89" s="756">
        <v>722422</v>
      </c>
      <c r="C89" s="785" t="s">
        <v>322</v>
      </c>
      <c r="D89" s="761">
        <f t="shared" ref="D89:F89" si="11">SUM(D90:D91)</f>
        <v>60000</v>
      </c>
      <c r="E89" s="761">
        <f t="shared" ref="E89" si="12">SUM(E90:E91)</f>
        <v>60000</v>
      </c>
      <c r="F89" s="762">
        <f t="shared" si="11"/>
        <v>260000</v>
      </c>
      <c r="G89" s="779">
        <f t="shared" si="9"/>
        <v>433.33333333333331</v>
      </c>
      <c r="I89" s="584"/>
      <c r="J89" s="132"/>
    </row>
    <row r="90" spans="2:14" s="507" customFormat="1" ht="15" customHeight="1">
      <c r="B90" s="769"/>
      <c r="C90" s="790" t="s">
        <v>830</v>
      </c>
      <c r="D90" s="771">
        <f>150000-D91-D66</f>
        <v>980</v>
      </c>
      <c r="E90" s="771">
        <f>150000-E91-E66</f>
        <v>980</v>
      </c>
      <c r="F90" s="772">
        <v>0</v>
      </c>
      <c r="G90" s="791">
        <f t="shared" si="9"/>
        <v>0</v>
      </c>
      <c r="H90" s="508"/>
      <c r="I90" s="586"/>
      <c r="J90" s="509"/>
      <c r="K90" s="508"/>
    </row>
    <row r="91" spans="2:14" s="507" customFormat="1" ht="15" customHeight="1">
      <c r="B91" s="769"/>
      <c r="C91" s="790" t="s">
        <v>770</v>
      </c>
      <c r="D91" s="771">
        <f>53020+6000</f>
        <v>59020</v>
      </c>
      <c r="E91" s="771">
        <f>53020+6000</f>
        <v>59020</v>
      </c>
      <c r="F91" s="772">
        <f>350000-90000</f>
        <v>260000</v>
      </c>
      <c r="G91" s="791">
        <f t="shared" si="9"/>
        <v>440.52863436123346</v>
      </c>
      <c r="H91" s="508"/>
      <c r="I91" s="586"/>
      <c r="J91" s="509"/>
      <c r="K91" s="508"/>
    </row>
    <row r="92" spans="2:14" ht="15" customHeight="1">
      <c r="B92" s="756">
        <v>722424</v>
      </c>
      <c r="C92" s="785" t="s">
        <v>261</v>
      </c>
      <c r="D92" s="761">
        <f>5650+1100</f>
        <v>6750</v>
      </c>
      <c r="E92" s="761">
        <f>5650+1100</f>
        <v>6750</v>
      </c>
      <c r="F92" s="762">
        <v>7140</v>
      </c>
      <c r="G92" s="779">
        <f t="shared" si="9"/>
        <v>105.77777777777777</v>
      </c>
      <c r="I92" s="584"/>
      <c r="J92" s="132"/>
    </row>
    <row r="93" spans="2:14" ht="15" customHeight="1">
      <c r="B93" s="756">
        <v>722429</v>
      </c>
      <c r="C93" s="785" t="s">
        <v>259</v>
      </c>
      <c r="D93" s="761">
        <v>1600</v>
      </c>
      <c r="E93" s="761">
        <v>1600</v>
      </c>
      <c r="F93" s="762">
        <v>1600</v>
      </c>
      <c r="G93" s="779">
        <f t="shared" si="9"/>
        <v>100</v>
      </c>
      <c r="I93" s="584"/>
      <c r="J93" s="132"/>
    </row>
    <row r="94" spans="2:14" ht="15" customHeight="1">
      <c r="B94" s="786">
        <v>722450</v>
      </c>
      <c r="C94" s="787" t="s">
        <v>260</v>
      </c>
      <c r="D94" s="788">
        <f>SUM(D95:D96)</f>
        <v>2500</v>
      </c>
      <c r="E94" s="788">
        <f>SUM(E95:E96)</f>
        <v>2500</v>
      </c>
      <c r="F94" s="789">
        <f>SUM(F95:F96)</f>
        <v>2670</v>
      </c>
      <c r="G94" s="783">
        <f t="shared" si="9"/>
        <v>106.80000000000001</v>
      </c>
      <c r="I94" s="584"/>
      <c r="J94" s="132"/>
    </row>
    <row r="95" spans="2:14" ht="15" customHeight="1">
      <c r="B95" s="756">
        <v>722451</v>
      </c>
      <c r="C95" s="785" t="s">
        <v>262</v>
      </c>
      <c r="D95" s="761">
        <v>2500</v>
      </c>
      <c r="E95" s="761">
        <v>2500</v>
      </c>
      <c r="F95" s="762">
        <v>2650</v>
      </c>
      <c r="G95" s="779">
        <f t="shared" si="9"/>
        <v>106</v>
      </c>
      <c r="I95" s="584"/>
      <c r="J95" s="132"/>
    </row>
    <row r="96" spans="2:14" ht="15" customHeight="1">
      <c r="B96" s="756">
        <v>722454</v>
      </c>
      <c r="C96" s="785" t="s">
        <v>263</v>
      </c>
      <c r="D96" s="761">
        <v>0</v>
      </c>
      <c r="E96" s="761">
        <v>0</v>
      </c>
      <c r="F96" s="762">
        <v>20</v>
      </c>
      <c r="G96" s="779" t="str">
        <f t="shared" si="9"/>
        <v/>
      </c>
      <c r="I96" s="584"/>
      <c r="J96" s="132"/>
    </row>
    <row r="97" spans="2:11" ht="25.5">
      <c r="B97" s="786">
        <v>722470</v>
      </c>
      <c r="C97" s="792" t="s">
        <v>316</v>
      </c>
      <c r="D97" s="788">
        <f>D98+D101+D102</f>
        <v>122300</v>
      </c>
      <c r="E97" s="788">
        <f>E98+E101+E102</f>
        <v>122300</v>
      </c>
      <c r="F97" s="789">
        <f>F98+F101+F102</f>
        <v>127130</v>
      </c>
      <c r="G97" s="783">
        <f t="shared" si="9"/>
        <v>103.94930498773508</v>
      </c>
      <c r="I97" s="584"/>
      <c r="J97" s="132"/>
    </row>
    <row r="98" spans="2:11" ht="15" customHeight="1">
      <c r="B98" s="756">
        <v>722471</v>
      </c>
      <c r="C98" s="785" t="s">
        <v>264</v>
      </c>
      <c r="D98" s="761">
        <f t="shared" ref="D98:F98" si="13">SUM(D99:D100)</f>
        <v>87770</v>
      </c>
      <c r="E98" s="761">
        <f t="shared" ref="E98" si="14">SUM(E99:E100)</f>
        <v>87770</v>
      </c>
      <c r="F98" s="762">
        <f t="shared" si="13"/>
        <v>93640</v>
      </c>
      <c r="G98" s="779">
        <f t="shared" si="9"/>
        <v>106.68793437393187</v>
      </c>
      <c r="I98" s="584"/>
      <c r="J98" s="132"/>
    </row>
    <row r="99" spans="2:11" s="507" customFormat="1" ht="15" customHeight="1">
      <c r="B99" s="769"/>
      <c r="C99" s="790" t="s">
        <v>831</v>
      </c>
      <c r="D99" s="771">
        <v>7430</v>
      </c>
      <c r="E99" s="771">
        <v>7430</v>
      </c>
      <c r="F99" s="772">
        <v>0</v>
      </c>
      <c r="G99" s="791">
        <f t="shared" si="9"/>
        <v>0</v>
      </c>
      <c r="H99" s="508"/>
      <c r="I99" s="586"/>
      <c r="J99" s="509"/>
      <c r="K99" s="508"/>
    </row>
    <row r="100" spans="2:11" s="507" customFormat="1" ht="15" customHeight="1">
      <c r="B100" s="769"/>
      <c r="C100" s="790" t="s">
        <v>770</v>
      </c>
      <c r="D100" s="771">
        <v>80340</v>
      </c>
      <c r="E100" s="771">
        <v>80340</v>
      </c>
      <c r="F100" s="772">
        <v>93640</v>
      </c>
      <c r="G100" s="791">
        <f t="shared" si="9"/>
        <v>116.554642768235</v>
      </c>
      <c r="H100" s="508"/>
      <c r="I100" s="586"/>
      <c r="J100" s="509"/>
      <c r="K100" s="508"/>
    </row>
    <row r="101" spans="2:11" ht="25.5">
      <c r="B101" s="756">
        <v>722472</v>
      </c>
      <c r="C101" s="793" t="s">
        <v>265</v>
      </c>
      <c r="D101" s="761">
        <f>28530+6000</f>
        <v>34530</v>
      </c>
      <c r="E101" s="761">
        <f>28530+6000</f>
        <v>34530</v>
      </c>
      <c r="F101" s="762">
        <v>33480</v>
      </c>
      <c r="G101" s="779">
        <f t="shared" si="9"/>
        <v>96.959165942658558</v>
      </c>
      <c r="I101" s="584"/>
      <c r="J101" s="132"/>
    </row>
    <row r="102" spans="2:11" ht="17.100000000000001" customHeight="1">
      <c r="B102" s="756">
        <v>722479</v>
      </c>
      <c r="C102" s="793" t="s">
        <v>488</v>
      </c>
      <c r="D102" s="761">
        <v>0</v>
      </c>
      <c r="E102" s="761">
        <v>0</v>
      </c>
      <c r="F102" s="762">
        <v>10</v>
      </c>
      <c r="G102" s="779" t="str">
        <f t="shared" si="9"/>
        <v/>
      </c>
      <c r="I102" s="584"/>
      <c r="J102" s="132"/>
    </row>
    <row r="103" spans="2:11" ht="17.100000000000001" customHeight="1">
      <c r="B103" s="751">
        <v>722500</v>
      </c>
      <c r="C103" s="784" t="s">
        <v>496</v>
      </c>
      <c r="D103" s="764">
        <f>D104+D109+D121+D126+D128+D138</f>
        <v>1077240</v>
      </c>
      <c r="E103" s="764">
        <f>E104+E109+E121+E126+E128+E138</f>
        <v>1077240</v>
      </c>
      <c r="F103" s="765">
        <f>F104+F109+F121+F126+F128+F138</f>
        <v>1174870</v>
      </c>
      <c r="G103" s="783">
        <f t="shared" si="9"/>
        <v>109.06297575284987</v>
      </c>
      <c r="I103" s="584"/>
      <c r="J103" s="132"/>
    </row>
    <row r="104" spans="2:11" ht="27" customHeight="1">
      <c r="B104" s="786">
        <v>722510</v>
      </c>
      <c r="C104" s="794" t="s">
        <v>317</v>
      </c>
      <c r="D104" s="788">
        <f t="shared" ref="D104:F104" si="15">SUM(D105:D108)</f>
        <v>11980</v>
      </c>
      <c r="E104" s="788">
        <f t="shared" ref="E104" si="16">SUM(E105:E108)</f>
        <v>11980</v>
      </c>
      <c r="F104" s="789">
        <f t="shared" si="15"/>
        <v>11440</v>
      </c>
      <c r="G104" s="783">
        <f t="shared" si="9"/>
        <v>95.492487479131881</v>
      </c>
      <c r="I104" s="584"/>
      <c r="J104" s="132"/>
    </row>
    <row r="105" spans="2:11" ht="25.5">
      <c r="B105" s="756">
        <v>722511</v>
      </c>
      <c r="C105" s="795" t="s">
        <v>506</v>
      </c>
      <c r="D105" s="761">
        <v>30</v>
      </c>
      <c r="E105" s="761">
        <v>30</v>
      </c>
      <c r="F105" s="762">
        <v>20</v>
      </c>
      <c r="G105" s="779">
        <f t="shared" si="9"/>
        <v>66.666666666666657</v>
      </c>
      <c r="I105" s="584"/>
      <c r="J105" s="132"/>
    </row>
    <row r="106" spans="2:11" ht="25.5">
      <c r="B106" s="756">
        <v>722514</v>
      </c>
      <c r="C106" s="795" t="s">
        <v>280</v>
      </c>
      <c r="D106" s="761">
        <v>2660</v>
      </c>
      <c r="E106" s="761">
        <v>2660</v>
      </c>
      <c r="F106" s="762">
        <v>2430</v>
      </c>
      <c r="G106" s="779">
        <f t="shared" si="9"/>
        <v>91.353383458646618</v>
      </c>
      <c r="I106" s="584"/>
      <c r="J106" s="132"/>
    </row>
    <row r="107" spans="2:11" ht="15" customHeight="1">
      <c r="B107" s="756">
        <v>722515</v>
      </c>
      <c r="C107" s="796" t="s">
        <v>266</v>
      </c>
      <c r="D107" s="761">
        <f>7480+1800</f>
        <v>9280</v>
      </c>
      <c r="E107" s="761">
        <f>7480+1800</f>
        <v>9280</v>
      </c>
      <c r="F107" s="762">
        <v>8980</v>
      </c>
      <c r="G107" s="779">
        <f t="shared" si="9"/>
        <v>96.767241379310349</v>
      </c>
      <c r="I107" s="584"/>
      <c r="J107" s="132"/>
    </row>
    <row r="108" spans="2:11" ht="15" customHeight="1">
      <c r="B108" s="756">
        <v>722516</v>
      </c>
      <c r="C108" s="796" t="s">
        <v>267</v>
      </c>
      <c r="D108" s="761">
        <v>10</v>
      </c>
      <c r="E108" s="761">
        <v>10</v>
      </c>
      <c r="F108" s="762">
        <v>10</v>
      </c>
      <c r="G108" s="779">
        <f t="shared" si="9"/>
        <v>100</v>
      </c>
      <c r="I108" s="584"/>
      <c r="J108" s="132"/>
    </row>
    <row r="109" spans="2:11" ht="15" customHeight="1">
      <c r="B109" s="786">
        <v>722520</v>
      </c>
      <c r="C109" s="797" t="s">
        <v>268</v>
      </c>
      <c r="D109" s="788">
        <f>D110+D113+D114+D115+D116+D117+D118+D119+D120</f>
        <v>350000</v>
      </c>
      <c r="E109" s="788">
        <f>E110+E113+E114+E115+E116+E117+E118+E119+E120</f>
        <v>350000</v>
      </c>
      <c r="F109" s="789">
        <f>F110+F113+F114+F115+F116+F117+F118+F119+F120</f>
        <v>300000</v>
      </c>
      <c r="G109" s="783">
        <f t="shared" si="9"/>
        <v>85.714285714285708</v>
      </c>
      <c r="I109" s="584"/>
      <c r="J109" s="132"/>
    </row>
    <row r="110" spans="2:11" ht="25.5">
      <c r="B110" s="756">
        <v>722521</v>
      </c>
      <c r="C110" s="795" t="s">
        <v>281</v>
      </c>
      <c r="D110" s="761">
        <f t="shared" ref="D110:F110" si="17">D111+D112</f>
        <v>146210</v>
      </c>
      <c r="E110" s="761">
        <f t="shared" ref="E110" si="18">E111+E112</f>
        <v>146210</v>
      </c>
      <c r="F110" s="762">
        <f t="shared" si="17"/>
        <v>93860</v>
      </c>
      <c r="G110" s="779">
        <f t="shared" si="9"/>
        <v>64.195335476369607</v>
      </c>
      <c r="I110" s="584"/>
      <c r="J110" s="132"/>
    </row>
    <row r="111" spans="2:11" s="507" customFormat="1" ht="15" customHeight="1">
      <c r="B111" s="769"/>
      <c r="C111" s="790" t="s">
        <v>832</v>
      </c>
      <c r="D111" s="771">
        <f>350000-300550</f>
        <v>49450</v>
      </c>
      <c r="E111" s="771">
        <f>350000-300550</f>
        <v>49450</v>
      </c>
      <c r="F111" s="772">
        <v>0</v>
      </c>
      <c r="G111" s="791">
        <f t="shared" si="9"/>
        <v>0</v>
      </c>
      <c r="H111" s="508"/>
      <c r="I111" s="586"/>
      <c r="J111" s="509"/>
      <c r="K111" s="508"/>
    </row>
    <row r="112" spans="2:11" s="507" customFormat="1" ht="15" customHeight="1">
      <c r="B112" s="769"/>
      <c r="C112" s="790" t="s">
        <v>619</v>
      </c>
      <c r="D112" s="771">
        <f>79760+17000</f>
        <v>96760</v>
      </c>
      <c r="E112" s="771">
        <f>79760+17000</f>
        <v>96760</v>
      </c>
      <c r="F112" s="772">
        <f>96110-2250</f>
        <v>93860</v>
      </c>
      <c r="G112" s="791">
        <f t="shared" si="9"/>
        <v>97.002893757751139</v>
      </c>
      <c r="H112" s="508"/>
      <c r="I112" s="586"/>
      <c r="J112" s="509"/>
      <c r="K112" s="508"/>
    </row>
    <row r="113" spans="2:10" ht="25.5" customHeight="1">
      <c r="B113" s="774">
        <v>722522</v>
      </c>
      <c r="C113" s="798" t="s">
        <v>282</v>
      </c>
      <c r="D113" s="776">
        <f>19260+5500</f>
        <v>24760</v>
      </c>
      <c r="E113" s="776">
        <f>19260+5500</f>
        <v>24760</v>
      </c>
      <c r="F113" s="777">
        <v>25620</v>
      </c>
      <c r="G113" s="799">
        <f t="shared" si="9"/>
        <v>103.47334410339258</v>
      </c>
      <c r="I113" s="584"/>
      <c r="J113" s="132"/>
    </row>
    <row r="114" spans="2:10" ht="25.5">
      <c r="B114" s="756">
        <v>722523</v>
      </c>
      <c r="C114" s="795" t="s">
        <v>283</v>
      </c>
      <c r="D114" s="761">
        <f>4440+1200</f>
        <v>5640</v>
      </c>
      <c r="E114" s="761">
        <f>4440+1200</f>
        <v>5640</v>
      </c>
      <c r="F114" s="762">
        <v>5340</v>
      </c>
      <c r="G114" s="760">
        <f t="shared" si="9"/>
        <v>94.680851063829792</v>
      </c>
      <c r="I114" s="584"/>
      <c r="J114" s="132"/>
    </row>
    <row r="115" spans="2:10" ht="27" customHeight="1">
      <c r="B115" s="756">
        <v>722524</v>
      </c>
      <c r="C115" s="795" t="s">
        <v>493</v>
      </c>
      <c r="D115" s="761">
        <v>10</v>
      </c>
      <c r="E115" s="761">
        <v>10</v>
      </c>
      <c r="F115" s="762">
        <v>10</v>
      </c>
      <c r="G115" s="760">
        <f t="shared" si="9"/>
        <v>100</v>
      </c>
      <c r="I115" s="584"/>
      <c r="J115" s="132"/>
    </row>
    <row r="116" spans="2:10" ht="25.5">
      <c r="B116" s="756">
        <v>722525</v>
      </c>
      <c r="C116" s="795" t="s">
        <v>492</v>
      </c>
      <c r="D116" s="761">
        <v>130</v>
      </c>
      <c r="E116" s="761">
        <v>130</v>
      </c>
      <c r="F116" s="762">
        <v>130</v>
      </c>
      <c r="G116" s="760">
        <f t="shared" si="9"/>
        <v>100</v>
      </c>
      <c r="I116" s="584"/>
      <c r="J116" s="132"/>
    </row>
    <row r="117" spans="2:10" ht="25.5">
      <c r="B117" s="756">
        <v>722526</v>
      </c>
      <c r="C117" s="795" t="s">
        <v>495</v>
      </c>
      <c r="D117" s="761">
        <v>0</v>
      </c>
      <c r="E117" s="761">
        <v>0</v>
      </c>
      <c r="F117" s="762">
        <v>10</v>
      </c>
      <c r="G117" s="760" t="str">
        <f t="shared" si="9"/>
        <v/>
      </c>
      <c r="I117" s="584"/>
      <c r="J117" s="132"/>
    </row>
    <row r="118" spans="2:10" ht="15" customHeight="1">
      <c r="B118" s="756">
        <v>722527</v>
      </c>
      <c r="C118" s="796" t="s">
        <v>441</v>
      </c>
      <c r="D118" s="761">
        <v>89620</v>
      </c>
      <c r="E118" s="761">
        <v>89620</v>
      </c>
      <c r="F118" s="762">
        <v>90510</v>
      </c>
      <c r="G118" s="800">
        <f t="shared" si="9"/>
        <v>100.99308190136129</v>
      </c>
      <c r="I118" s="584"/>
      <c r="J118" s="132"/>
    </row>
    <row r="119" spans="2:10" ht="15" customHeight="1">
      <c r="B119" s="756">
        <v>722528</v>
      </c>
      <c r="C119" s="796" t="s">
        <v>269</v>
      </c>
      <c r="D119" s="761">
        <v>1020</v>
      </c>
      <c r="E119" s="761">
        <v>1020</v>
      </c>
      <c r="F119" s="762">
        <v>1000</v>
      </c>
      <c r="G119" s="760">
        <f t="shared" si="9"/>
        <v>98.039215686274503</v>
      </c>
      <c r="I119" s="584"/>
      <c r="J119" s="132"/>
    </row>
    <row r="120" spans="2:10" ht="15" customHeight="1">
      <c r="B120" s="756">
        <v>722529</v>
      </c>
      <c r="C120" s="796" t="s">
        <v>270</v>
      </c>
      <c r="D120" s="761">
        <f>68610+14000</f>
        <v>82610</v>
      </c>
      <c r="E120" s="761">
        <f>68610+14000</f>
        <v>82610</v>
      </c>
      <c r="F120" s="762">
        <v>83520</v>
      </c>
      <c r="G120" s="760">
        <f t="shared" si="9"/>
        <v>101.10156155429124</v>
      </c>
      <c r="I120" s="584"/>
      <c r="J120" s="132"/>
    </row>
    <row r="121" spans="2:10" ht="15" customHeight="1">
      <c r="B121" s="786">
        <v>722530</v>
      </c>
      <c r="C121" s="797" t="s">
        <v>271</v>
      </c>
      <c r="D121" s="788">
        <f>SUM(D122:D125)</f>
        <v>347980</v>
      </c>
      <c r="E121" s="788">
        <f>SUM(E122:E125)</f>
        <v>347980</v>
      </c>
      <c r="F121" s="789">
        <f>SUM(F122:F125)</f>
        <v>353840</v>
      </c>
      <c r="G121" s="755">
        <f t="shared" si="9"/>
        <v>101.68400482786366</v>
      </c>
      <c r="I121" s="584"/>
      <c r="J121" s="132"/>
    </row>
    <row r="122" spans="2:10" ht="15" customHeight="1">
      <c r="B122" s="756">
        <v>722531</v>
      </c>
      <c r="C122" s="796" t="s">
        <v>272</v>
      </c>
      <c r="D122" s="761">
        <f>90430+10500</f>
        <v>100930</v>
      </c>
      <c r="E122" s="761">
        <f>90430+10500</f>
        <v>100930</v>
      </c>
      <c r="F122" s="762">
        <v>106630</v>
      </c>
      <c r="G122" s="760">
        <f t="shared" si="9"/>
        <v>105.64747845041119</v>
      </c>
      <c r="I122" s="584"/>
      <c r="J122" s="132"/>
    </row>
    <row r="123" spans="2:10" ht="15" customHeight="1">
      <c r="B123" s="756">
        <v>722532</v>
      </c>
      <c r="C123" s="796" t="s">
        <v>273</v>
      </c>
      <c r="D123" s="761">
        <f>205050+42000</f>
        <v>247050</v>
      </c>
      <c r="E123" s="761">
        <f>205050+42000</f>
        <v>247050</v>
      </c>
      <c r="F123" s="762">
        <v>247190</v>
      </c>
      <c r="G123" s="760">
        <f t="shared" si="9"/>
        <v>100.05666869054848</v>
      </c>
      <c r="I123" s="584"/>
      <c r="J123" s="132"/>
    </row>
    <row r="124" spans="2:10" ht="15" customHeight="1">
      <c r="B124" s="756">
        <v>722538</v>
      </c>
      <c r="C124" s="796" t="s">
        <v>274</v>
      </c>
      <c r="D124" s="761">
        <v>0</v>
      </c>
      <c r="E124" s="761">
        <v>0</v>
      </c>
      <c r="F124" s="762">
        <v>10</v>
      </c>
      <c r="G124" s="760" t="str">
        <f t="shared" si="9"/>
        <v/>
      </c>
      <c r="I124" s="584"/>
      <c r="J124" s="132"/>
    </row>
    <row r="125" spans="2:10" ht="15" customHeight="1">
      <c r="B125" s="756">
        <v>722539</v>
      </c>
      <c r="C125" s="796" t="s">
        <v>444</v>
      </c>
      <c r="D125" s="761">
        <v>0</v>
      </c>
      <c r="E125" s="761">
        <v>0</v>
      </c>
      <c r="F125" s="762">
        <v>10</v>
      </c>
      <c r="G125" s="760" t="str">
        <f t="shared" si="9"/>
        <v/>
      </c>
      <c r="I125" s="584"/>
      <c r="J125" s="132"/>
    </row>
    <row r="126" spans="2:10" ht="15" customHeight="1">
      <c r="B126" s="786">
        <v>722540</v>
      </c>
      <c r="C126" s="797" t="s">
        <v>275</v>
      </c>
      <c r="D126" s="788">
        <f>D127</f>
        <v>200</v>
      </c>
      <c r="E126" s="788">
        <f>E127</f>
        <v>200</v>
      </c>
      <c r="F126" s="789">
        <f>F127</f>
        <v>200</v>
      </c>
      <c r="G126" s="755">
        <f t="shared" si="9"/>
        <v>100</v>
      </c>
      <c r="I126" s="584"/>
      <c r="J126" s="132"/>
    </row>
    <row r="127" spans="2:10" ht="15" customHeight="1">
      <c r="B127" s="756">
        <v>722541</v>
      </c>
      <c r="C127" s="796" t="s">
        <v>276</v>
      </c>
      <c r="D127" s="761">
        <v>200</v>
      </c>
      <c r="E127" s="761">
        <v>200</v>
      </c>
      <c r="F127" s="762">
        <v>200</v>
      </c>
      <c r="G127" s="760">
        <f t="shared" si="9"/>
        <v>100</v>
      </c>
      <c r="I127" s="584"/>
      <c r="J127" s="132"/>
    </row>
    <row r="128" spans="2:10" ht="15" customHeight="1">
      <c r="B128" s="786">
        <v>722550</v>
      </c>
      <c r="C128" s="797" t="s">
        <v>277</v>
      </c>
      <c r="D128" s="788">
        <f>D129+D131+D133+D135</f>
        <v>300000</v>
      </c>
      <c r="E128" s="788">
        <f>E129+E131+E133+E135</f>
        <v>300000</v>
      </c>
      <c r="F128" s="789">
        <f>F129+F131+F133+F135</f>
        <v>280000</v>
      </c>
      <c r="G128" s="755">
        <f t="shared" si="9"/>
        <v>93.333333333333329</v>
      </c>
      <c r="I128" s="585"/>
      <c r="J128" s="132"/>
    </row>
    <row r="129" spans="2:11" ht="15" customHeight="1">
      <c r="B129" s="756">
        <v>722551</v>
      </c>
      <c r="C129" s="796" t="s">
        <v>278</v>
      </c>
      <c r="D129" s="761">
        <f>D130</f>
        <v>12170</v>
      </c>
      <c r="E129" s="761">
        <f>E130</f>
        <v>12170</v>
      </c>
      <c r="F129" s="762">
        <f>F130</f>
        <v>12690</v>
      </c>
      <c r="G129" s="760">
        <f t="shared" si="9"/>
        <v>104.27280197206245</v>
      </c>
      <c r="I129" s="584"/>
      <c r="J129" s="132"/>
    </row>
    <row r="130" spans="2:11" s="507" customFormat="1" ht="15" customHeight="1">
      <c r="B130" s="769"/>
      <c r="C130" s="790" t="s">
        <v>619</v>
      </c>
      <c r="D130" s="771">
        <v>12170</v>
      </c>
      <c r="E130" s="771">
        <v>12170</v>
      </c>
      <c r="F130" s="772">
        <v>12690</v>
      </c>
      <c r="G130" s="773">
        <f t="shared" si="9"/>
        <v>104.27280197206245</v>
      </c>
      <c r="H130" s="508"/>
      <c r="I130" s="586"/>
      <c r="J130" s="509"/>
      <c r="K130" s="508"/>
    </row>
    <row r="131" spans="2:11" ht="15" customHeight="1">
      <c r="B131" s="756">
        <v>722552</v>
      </c>
      <c r="C131" s="796" t="s">
        <v>624</v>
      </c>
      <c r="D131" s="761">
        <f>D132</f>
        <v>0</v>
      </c>
      <c r="E131" s="761">
        <f>E132</f>
        <v>0</v>
      </c>
      <c r="F131" s="762">
        <f>F132</f>
        <v>10</v>
      </c>
      <c r="G131" s="760" t="str">
        <f t="shared" si="9"/>
        <v/>
      </c>
      <c r="I131" s="584"/>
      <c r="J131" s="132"/>
    </row>
    <row r="132" spans="2:11" s="507" customFormat="1" ht="15" customHeight="1">
      <c r="B132" s="769"/>
      <c r="C132" s="790" t="s">
        <v>619</v>
      </c>
      <c r="D132" s="771">
        <v>0</v>
      </c>
      <c r="E132" s="771">
        <v>0</v>
      </c>
      <c r="F132" s="772">
        <v>10</v>
      </c>
      <c r="G132" s="773" t="str">
        <f t="shared" si="9"/>
        <v/>
      </c>
      <c r="H132" s="508"/>
      <c r="I132" s="586"/>
      <c r="J132" s="509"/>
      <c r="K132" s="508"/>
    </row>
    <row r="133" spans="2:11" ht="25.5">
      <c r="B133" s="756">
        <v>722555</v>
      </c>
      <c r="C133" s="795" t="s">
        <v>284</v>
      </c>
      <c r="D133" s="761">
        <f>D134</f>
        <v>60470</v>
      </c>
      <c r="E133" s="761">
        <f>E134</f>
        <v>60470</v>
      </c>
      <c r="F133" s="762">
        <f>F134</f>
        <v>61560</v>
      </c>
      <c r="G133" s="760">
        <f t="shared" si="9"/>
        <v>101.80254671738052</v>
      </c>
      <c r="I133" s="584"/>
      <c r="J133" s="132"/>
    </row>
    <row r="134" spans="2:11" s="507" customFormat="1" ht="17.100000000000001" customHeight="1">
      <c r="B134" s="769"/>
      <c r="C134" s="790" t="s">
        <v>619</v>
      </c>
      <c r="D134" s="771">
        <f>51470+9000</f>
        <v>60470</v>
      </c>
      <c r="E134" s="771">
        <f>51470+9000</f>
        <v>60470</v>
      </c>
      <c r="F134" s="772">
        <v>61560</v>
      </c>
      <c r="G134" s="773">
        <f t="shared" si="9"/>
        <v>101.80254671738052</v>
      </c>
      <c r="H134" s="508"/>
      <c r="I134" s="586"/>
      <c r="J134" s="509"/>
      <c r="K134" s="508"/>
    </row>
    <row r="135" spans="2:11" ht="25.5">
      <c r="B135" s="756">
        <v>722556</v>
      </c>
      <c r="C135" s="795" t="s">
        <v>285</v>
      </c>
      <c r="D135" s="761">
        <f t="shared" ref="D135:F135" si="19">SUM(D136:D137)</f>
        <v>227360</v>
      </c>
      <c r="E135" s="761">
        <f t="shared" ref="E135" si="20">SUM(E136:E137)</f>
        <v>227360</v>
      </c>
      <c r="F135" s="762">
        <f t="shared" si="19"/>
        <v>205740</v>
      </c>
      <c r="G135" s="760">
        <f t="shared" ref="G135:G209" si="21">IF(E135=0,"",F135/E135*100)</f>
        <v>90.490851513018995</v>
      </c>
      <c r="I135" s="584"/>
      <c r="J135" s="132"/>
    </row>
    <row r="136" spans="2:11" s="507" customFormat="1" ht="15" customHeight="1">
      <c r="B136" s="769"/>
      <c r="C136" s="790" t="s">
        <v>832</v>
      </c>
      <c r="D136" s="771">
        <f>300000-196960</f>
        <v>103040</v>
      </c>
      <c r="E136" s="771">
        <f>300000-196960</f>
        <v>103040</v>
      </c>
      <c r="F136" s="772">
        <v>84610</v>
      </c>
      <c r="G136" s="773">
        <f t="shared" si="21"/>
        <v>82.113742236024848</v>
      </c>
      <c r="H136" s="508"/>
      <c r="I136" s="586"/>
      <c r="J136" s="509"/>
      <c r="K136" s="508"/>
    </row>
    <row r="137" spans="2:11" s="507" customFormat="1" ht="15" customHeight="1">
      <c r="B137" s="769"/>
      <c r="C137" s="790" t="s">
        <v>619</v>
      </c>
      <c r="D137" s="771">
        <f>100320+24000</f>
        <v>124320</v>
      </c>
      <c r="E137" s="771">
        <f>100320+24000</f>
        <v>124320</v>
      </c>
      <c r="F137" s="772">
        <f>121130</f>
        <v>121130</v>
      </c>
      <c r="G137" s="773">
        <f t="shared" si="21"/>
        <v>97.434041184041192</v>
      </c>
      <c r="H137" s="508"/>
      <c r="I137" s="586"/>
      <c r="J137" s="509"/>
      <c r="K137" s="508"/>
    </row>
    <row r="138" spans="2:11" ht="15" customHeight="1">
      <c r="B138" s="786">
        <v>722580</v>
      </c>
      <c r="C138" s="797" t="s">
        <v>286</v>
      </c>
      <c r="D138" s="788">
        <f>D139+D142+D143+D146+D149+D152</f>
        <v>67080</v>
      </c>
      <c r="E138" s="788">
        <f t="shared" ref="E138:F138" si="22">E139+E142+E143+E146+E149+E152</f>
        <v>67080</v>
      </c>
      <c r="F138" s="789">
        <f t="shared" si="22"/>
        <v>229390</v>
      </c>
      <c r="G138" s="755">
        <f t="shared" si="21"/>
        <v>341.96481812760885</v>
      </c>
      <c r="I138" s="584"/>
      <c r="J138" s="132"/>
    </row>
    <row r="139" spans="2:11" ht="25.5">
      <c r="B139" s="756">
        <v>722581</v>
      </c>
      <c r="C139" s="795" t="s">
        <v>494</v>
      </c>
      <c r="D139" s="761">
        <f t="shared" ref="D139:F139" si="23">SUM(D140:D141)</f>
        <v>60650</v>
      </c>
      <c r="E139" s="761">
        <f t="shared" ref="E139" si="24">SUM(E140:E141)</f>
        <v>60650</v>
      </c>
      <c r="F139" s="762">
        <f t="shared" si="23"/>
        <v>114690</v>
      </c>
      <c r="G139" s="760">
        <f t="shared" si="21"/>
        <v>189.10140148392415</v>
      </c>
      <c r="I139" s="584"/>
      <c r="J139" s="132"/>
    </row>
    <row r="140" spans="2:11" s="507" customFormat="1" ht="15" customHeight="1">
      <c r="B140" s="769"/>
      <c r="C140" s="790" t="s">
        <v>833</v>
      </c>
      <c r="D140" s="771">
        <f>65000-59800</f>
        <v>5200</v>
      </c>
      <c r="E140" s="771">
        <f>65000-59800</f>
        <v>5200</v>
      </c>
      <c r="F140" s="772">
        <v>54410</v>
      </c>
      <c r="G140" s="773">
        <f t="shared" si="21"/>
        <v>1046.3461538461538</v>
      </c>
      <c r="H140" s="508"/>
      <c r="I140" s="587"/>
      <c r="J140" s="509"/>
      <c r="K140" s="508"/>
    </row>
    <row r="141" spans="2:11" s="507" customFormat="1" ht="15" customHeight="1">
      <c r="B141" s="769"/>
      <c r="C141" s="790" t="s">
        <v>618</v>
      </c>
      <c r="D141" s="771">
        <f>53450+2000</f>
        <v>55450</v>
      </c>
      <c r="E141" s="771">
        <f>53450+2000</f>
        <v>55450</v>
      </c>
      <c r="F141" s="772">
        <f>64070-3790</f>
        <v>60280</v>
      </c>
      <c r="G141" s="773">
        <f t="shared" si="21"/>
        <v>108.71055004508565</v>
      </c>
      <c r="H141" s="508"/>
      <c r="I141" s="587"/>
      <c r="J141" s="509"/>
      <c r="K141" s="508"/>
    </row>
    <row r="142" spans="2:11" ht="37.5" customHeight="1">
      <c r="B142" s="756">
        <v>722582</v>
      </c>
      <c r="C142" s="795" t="s">
        <v>491</v>
      </c>
      <c r="D142" s="761">
        <v>4340</v>
      </c>
      <c r="E142" s="761">
        <v>4340</v>
      </c>
      <c r="F142" s="762">
        <v>4700</v>
      </c>
      <c r="G142" s="760">
        <f t="shared" si="21"/>
        <v>108.29493087557604</v>
      </c>
      <c r="I142" s="584"/>
      <c r="J142" s="132"/>
    </row>
    <row r="143" spans="2:11" ht="26.25" customHeight="1">
      <c r="B143" s="756">
        <v>722583</v>
      </c>
      <c r="C143" s="795" t="s">
        <v>287</v>
      </c>
      <c r="D143" s="761">
        <f t="shared" ref="D143:E143" si="25">D144+D145</f>
        <v>630</v>
      </c>
      <c r="E143" s="761">
        <f t="shared" si="25"/>
        <v>630</v>
      </c>
      <c r="F143" s="762">
        <f t="shared" ref="F143" si="26">F144+F145</f>
        <v>2160</v>
      </c>
      <c r="G143" s="760">
        <f t="shared" si="21"/>
        <v>342.85714285714283</v>
      </c>
      <c r="I143" s="584"/>
      <c r="J143" s="132"/>
    </row>
    <row r="144" spans="2:11" s="507" customFormat="1" ht="15" customHeight="1">
      <c r="B144" s="769"/>
      <c r="C144" s="790" t="s">
        <v>833</v>
      </c>
      <c r="D144" s="771">
        <v>0</v>
      </c>
      <c r="E144" s="771">
        <v>0</v>
      </c>
      <c r="F144" s="772">
        <v>1570</v>
      </c>
      <c r="G144" s="773" t="str">
        <f t="shared" ref="G144:G145" si="27">IF(E144=0,"",F144/E144*100)</f>
        <v/>
      </c>
      <c r="H144" s="508"/>
      <c r="I144" s="587"/>
      <c r="J144" s="509"/>
      <c r="K144" s="508"/>
    </row>
    <row r="145" spans="2:11" s="507" customFormat="1" ht="15" customHeight="1">
      <c r="B145" s="769"/>
      <c r="C145" s="790" t="s">
        <v>618</v>
      </c>
      <c r="D145" s="771">
        <v>630</v>
      </c>
      <c r="E145" s="771">
        <v>630</v>
      </c>
      <c r="F145" s="772">
        <v>590</v>
      </c>
      <c r="G145" s="773">
        <f t="shared" si="27"/>
        <v>93.650793650793645</v>
      </c>
      <c r="H145" s="508"/>
      <c r="I145" s="587"/>
      <c r="J145" s="509"/>
      <c r="K145" s="508"/>
    </row>
    <row r="146" spans="2:11" ht="25.5">
      <c r="B146" s="756">
        <v>722584</v>
      </c>
      <c r="C146" s="795" t="s">
        <v>288</v>
      </c>
      <c r="D146" s="761">
        <f t="shared" ref="D146:E146" si="28">D147+D148</f>
        <v>610</v>
      </c>
      <c r="E146" s="761">
        <f t="shared" si="28"/>
        <v>610</v>
      </c>
      <c r="F146" s="762">
        <f t="shared" ref="F146" si="29">F147+F148</f>
        <v>1520</v>
      </c>
      <c r="G146" s="760">
        <f t="shared" si="21"/>
        <v>249.18032786885246</v>
      </c>
      <c r="I146" s="584"/>
      <c r="J146" s="132"/>
    </row>
    <row r="147" spans="2:11" s="507" customFormat="1" ht="15" customHeight="1">
      <c r="B147" s="769"/>
      <c r="C147" s="790" t="s">
        <v>833</v>
      </c>
      <c r="D147" s="771">
        <v>0</v>
      </c>
      <c r="E147" s="771">
        <v>0</v>
      </c>
      <c r="F147" s="772">
        <v>940</v>
      </c>
      <c r="G147" s="773" t="str">
        <f t="shared" si="21"/>
        <v/>
      </c>
      <c r="H147" s="508"/>
      <c r="I147" s="587"/>
      <c r="J147" s="509"/>
      <c r="K147" s="508"/>
    </row>
    <row r="148" spans="2:11" s="507" customFormat="1" ht="15" customHeight="1">
      <c r="B148" s="769"/>
      <c r="C148" s="790" t="s">
        <v>618</v>
      </c>
      <c r="D148" s="771">
        <v>610</v>
      </c>
      <c r="E148" s="771">
        <v>610</v>
      </c>
      <c r="F148" s="772">
        <v>580</v>
      </c>
      <c r="G148" s="773">
        <f t="shared" si="21"/>
        <v>95.081967213114751</v>
      </c>
      <c r="H148" s="508"/>
      <c r="I148" s="587"/>
      <c r="J148" s="509"/>
      <c r="K148" s="508"/>
    </row>
    <row r="149" spans="2:11" ht="25.5">
      <c r="B149" s="756">
        <v>722585</v>
      </c>
      <c r="C149" s="795" t="s">
        <v>289</v>
      </c>
      <c r="D149" s="761">
        <f t="shared" ref="D149:E149" si="30">D150+D151</f>
        <v>850</v>
      </c>
      <c r="E149" s="761">
        <f t="shared" si="30"/>
        <v>850</v>
      </c>
      <c r="F149" s="762">
        <f t="shared" ref="F149" si="31">F150+F151</f>
        <v>1160</v>
      </c>
      <c r="G149" s="760">
        <f t="shared" si="21"/>
        <v>136.47058823529412</v>
      </c>
      <c r="I149" s="584"/>
      <c r="J149" s="132"/>
    </row>
    <row r="150" spans="2:11" s="507" customFormat="1" ht="15" customHeight="1">
      <c r="B150" s="769"/>
      <c r="C150" s="790" t="s">
        <v>833</v>
      </c>
      <c r="D150" s="771">
        <v>0</v>
      </c>
      <c r="E150" s="771">
        <v>0</v>
      </c>
      <c r="F150" s="772">
        <v>350</v>
      </c>
      <c r="G150" s="773" t="str">
        <f t="shared" ref="G150:G152" si="32">IF(E150=0,"",F150/E150*100)</f>
        <v/>
      </c>
      <c r="H150" s="508"/>
      <c r="I150" s="587"/>
      <c r="J150" s="509"/>
      <c r="K150" s="508"/>
    </row>
    <row r="151" spans="2:11" s="507" customFormat="1" ht="15" customHeight="1">
      <c r="B151" s="769"/>
      <c r="C151" s="790" t="s">
        <v>618</v>
      </c>
      <c r="D151" s="771">
        <v>850</v>
      </c>
      <c r="E151" s="771">
        <v>850</v>
      </c>
      <c r="F151" s="772">
        <v>810</v>
      </c>
      <c r="G151" s="773">
        <f t="shared" si="32"/>
        <v>95.294117647058812</v>
      </c>
      <c r="H151" s="508"/>
      <c r="I151" s="587"/>
      <c r="J151" s="509"/>
      <c r="K151" s="508"/>
    </row>
    <row r="152" spans="2:11" s="602" customFormat="1" ht="25.5">
      <c r="B152" s="756">
        <v>722586</v>
      </c>
      <c r="C152" s="795" t="s">
        <v>904</v>
      </c>
      <c r="D152" s="761">
        <v>0</v>
      </c>
      <c r="E152" s="761">
        <v>0</v>
      </c>
      <c r="F152" s="762">
        <f>110000-2160-1520-1160</f>
        <v>105160</v>
      </c>
      <c r="G152" s="760" t="str">
        <f t="shared" si="32"/>
        <v/>
      </c>
      <c r="H152" s="121"/>
      <c r="I152" s="584"/>
      <c r="J152" s="132"/>
      <c r="K152" s="121"/>
    </row>
    <row r="153" spans="2:11" ht="15" customHeight="1">
      <c r="B153" s="751">
        <v>722600</v>
      </c>
      <c r="C153" s="784" t="s">
        <v>279</v>
      </c>
      <c r="D153" s="764">
        <f>SUM(D154:D160)</f>
        <v>351700</v>
      </c>
      <c r="E153" s="764">
        <f>SUM(E154:E160)</f>
        <v>351700</v>
      </c>
      <c r="F153" s="765">
        <f>SUM(F154:F160)</f>
        <v>349210</v>
      </c>
      <c r="G153" s="755">
        <f t="shared" si="21"/>
        <v>99.292010235996585</v>
      </c>
      <c r="I153" s="584"/>
      <c r="J153" s="132"/>
    </row>
    <row r="154" spans="2:11" ht="15" customHeight="1">
      <c r="B154" s="756">
        <v>722611</v>
      </c>
      <c r="C154" s="796" t="s">
        <v>290</v>
      </c>
      <c r="D154" s="761">
        <v>120580</v>
      </c>
      <c r="E154" s="761">
        <v>120580</v>
      </c>
      <c r="F154" s="762">
        <v>118680</v>
      </c>
      <c r="G154" s="760">
        <f t="shared" si="21"/>
        <v>98.424282633935974</v>
      </c>
      <c r="I154" s="584"/>
      <c r="J154" s="132"/>
    </row>
    <row r="155" spans="2:11" ht="15" customHeight="1">
      <c r="B155" s="756">
        <v>722612</v>
      </c>
      <c r="C155" s="796" t="s">
        <v>291</v>
      </c>
      <c r="D155" s="761">
        <f>43990+7000</f>
        <v>50990</v>
      </c>
      <c r="E155" s="761">
        <f>43990+7000</f>
        <v>50990</v>
      </c>
      <c r="F155" s="762">
        <v>51400</v>
      </c>
      <c r="G155" s="760">
        <f t="shared" si="21"/>
        <v>100.80407923122181</v>
      </c>
      <c r="I155" s="584"/>
      <c r="J155" s="132"/>
    </row>
    <row r="156" spans="2:11" ht="15" customHeight="1">
      <c r="B156" s="756">
        <v>722613</v>
      </c>
      <c r="C156" s="796" t="s">
        <v>292</v>
      </c>
      <c r="D156" s="761">
        <v>10700</v>
      </c>
      <c r="E156" s="761">
        <v>10700</v>
      </c>
      <c r="F156" s="762">
        <v>10940</v>
      </c>
      <c r="G156" s="760">
        <f t="shared" si="21"/>
        <v>102.24299065420561</v>
      </c>
      <c r="I156" s="584"/>
      <c r="J156" s="132"/>
    </row>
    <row r="157" spans="2:11" ht="15" customHeight="1">
      <c r="B157" s="756">
        <v>722621</v>
      </c>
      <c r="C157" s="796" t="s">
        <v>293</v>
      </c>
      <c r="D157" s="761">
        <v>128440</v>
      </c>
      <c r="E157" s="761">
        <v>128440</v>
      </c>
      <c r="F157" s="762">
        <v>125400</v>
      </c>
      <c r="G157" s="760">
        <f t="shared" si="21"/>
        <v>97.633136094674555</v>
      </c>
      <c r="I157" s="584"/>
      <c r="J157" s="132"/>
    </row>
    <row r="158" spans="2:11" ht="15" customHeight="1">
      <c r="B158" s="756">
        <v>722631</v>
      </c>
      <c r="C158" s="796" t="s">
        <v>294</v>
      </c>
      <c r="D158" s="761">
        <v>40990</v>
      </c>
      <c r="E158" s="761">
        <v>40990</v>
      </c>
      <c r="F158" s="762">
        <v>42770</v>
      </c>
      <c r="G158" s="760">
        <f t="shared" si="21"/>
        <v>104.34252256647963</v>
      </c>
      <c r="I158" s="584"/>
      <c r="J158" s="132"/>
    </row>
    <row r="159" spans="2:11" ht="15" customHeight="1">
      <c r="B159" s="756">
        <v>722632</v>
      </c>
      <c r="C159" s="796" t="s">
        <v>445</v>
      </c>
      <c r="D159" s="761">
        <v>0</v>
      </c>
      <c r="E159" s="761">
        <v>0</v>
      </c>
      <c r="F159" s="762">
        <v>10</v>
      </c>
      <c r="G159" s="760" t="str">
        <f t="shared" si="21"/>
        <v/>
      </c>
      <c r="I159" s="584"/>
      <c r="J159" s="132"/>
    </row>
    <row r="160" spans="2:11" ht="15" customHeight="1">
      <c r="B160" s="756">
        <v>722633</v>
      </c>
      <c r="C160" s="796" t="s">
        <v>625</v>
      </c>
      <c r="D160" s="761">
        <v>0</v>
      </c>
      <c r="E160" s="761">
        <v>0</v>
      </c>
      <c r="F160" s="762">
        <v>10</v>
      </c>
      <c r="G160" s="760" t="str">
        <f t="shared" si="21"/>
        <v/>
      </c>
      <c r="I160" s="584"/>
      <c r="J160" s="132"/>
    </row>
    <row r="161" spans="2:10" ht="15" customHeight="1">
      <c r="B161" s="786">
        <v>722700</v>
      </c>
      <c r="C161" s="784" t="s">
        <v>295</v>
      </c>
      <c r="D161" s="764">
        <f t="shared" ref="D161:F161" si="33">SUM(D162:D165)</f>
        <v>30260</v>
      </c>
      <c r="E161" s="764">
        <f t="shared" ref="E161" si="34">SUM(E162:E165)</f>
        <v>30260</v>
      </c>
      <c r="F161" s="765">
        <f t="shared" si="33"/>
        <v>31930</v>
      </c>
      <c r="G161" s="755">
        <f t="shared" si="21"/>
        <v>105.51883674818241</v>
      </c>
      <c r="I161" s="584"/>
      <c r="J161" s="132"/>
    </row>
    <row r="162" spans="2:10" ht="15" customHeight="1">
      <c r="B162" s="756">
        <v>722715</v>
      </c>
      <c r="C162" s="796" t="s">
        <v>507</v>
      </c>
      <c r="D162" s="761">
        <v>0</v>
      </c>
      <c r="E162" s="761">
        <v>0</v>
      </c>
      <c r="F162" s="762">
        <v>10</v>
      </c>
      <c r="G162" s="760" t="str">
        <f t="shared" si="21"/>
        <v/>
      </c>
      <c r="I162" s="584"/>
      <c r="J162" s="132"/>
    </row>
    <row r="163" spans="2:10" ht="15" customHeight="1">
      <c r="B163" s="756">
        <v>722719</v>
      </c>
      <c r="C163" s="796" t="s">
        <v>442</v>
      </c>
      <c r="D163" s="761">
        <v>29100</v>
      </c>
      <c r="E163" s="761">
        <v>29100</v>
      </c>
      <c r="F163" s="762">
        <v>29500</v>
      </c>
      <c r="G163" s="760">
        <f t="shared" si="21"/>
        <v>101.37457044673539</v>
      </c>
      <c r="I163" s="584"/>
      <c r="J163" s="132"/>
    </row>
    <row r="164" spans="2:10" ht="15" customHeight="1">
      <c r="B164" s="756">
        <v>722732</v>
      </c>
      <c r="C164" s="796" t="s">
        <v>296</v>
      </c>
      <c r="D164" s="761">
        <v>0</v>
      </c>
      <c r="E164" s="761">
        <v>0</v>
      </c>
      <c r="F164" s="762">
        <v>10</v>
      </c>
      <c r="G164" s="760" t="str">
        <f t="shared" si="21"/>
        <v/>
      </c>
      <c r="I164" s="584"/>
      <c r="J164" s="132"/>
    </row>
    <row r="165" spans="2:10" ht="15" customHeight="1">
      <c r="B165" s="756">
        <v>722791</v>
      </c>
      <c r="C165" s="796" t="s">
        <v>297</v>
      </c>
      <c r="D165" s="761">
        <v>1160</v>
      </c>
      <c r="E165" s="761">
        <v>1160</v>
      </c>
      <c r="F165" s="762">
        <v>2410</v>
      </c>
      <c r="G165" s="760">
        <f t="shared" si="21"/>
        <v>207.75862068965517</v>
      </c>
      <c r="I165" s="584"/>
      <c r="J165" s="132"/>
    </row>
    <row r="166" spans="2:10" ht="17.100000000000001" customHeight="1">
      <c r="B166" s="742">
        <v>723000</v>
      </c>
      <c r="C166" s="747" t="s">
        <v>160</v>
      </c>
      <c r="D166" s="748">
        <f>D167</f>
        <v>711470</v>
      </c>
      <c r="E166" s="748">
        <f>E167</f>
        <v>711470</v>
      </c>
      <c r="F166" s="749">
        <f>F167</f>
        <v>727230</v>
      </c>
      <c r="G166" s="750">
        <f t="shared" si="21"/>
        <v>102.21513205054325</v>
      </c>
      <c r="I166" s="584"/>
      <c r="J166" s="132"/>
    </row>
    <row r="167" spans="2:10" ht="15" customHeight="1">
      <c r="B167" s="751">
        <v>723100</v>
      </c>
      <c r="C167" s="794" t="s">
        <v>298</v>
      </c>
      <c r="D167" s="788">
        <f>SUM(D168:D171)</f>
        <v>711470</v>
      </c>
      <c r="E167" s="788">
        <f>SUM(E168:E171)</f>
        <v>711470</v>
      </c>
      <c r="F167" s="789">
        <f>SUM(F168:F171)</f>
        <v>727230</v>
      </c>
      <c r="G167" s="760">
        <f t="shared" si="21"/>
        <v>102.21513205054325</v>
      </c>
      <c r="I167" s="584"/>
      <c r="J167" s="132"/>
    </row>
    <row r="168" spans="2:10" ht="15" customHeight="1">
      <c r="B168" s="756">
        <v>723121</v>
      </c>
      <c r="C168" s="780" t="s">
        <v>299</v>
      </c>
      <c r="D168" s="758">
        <v>160</v>
      </c>
      <c r="E168" s="758">
        <v>160</v>
      </c>
      <c r="F168" s="759">
        <v>480</v>
      </c>
      <c r="G168" s="760">
        <f t="shared" si="21"/>
        <v>300</v>
      </c>
      <c r="I168" s="584"/>
      <c r="J168" s="132"/>
    </row>
    <row r="169" spans="2:10" ht="15" customHeight="1">
      <c r="B169" s="756">
        <v>723122</v>
      </c>
      <c r="C169" s="780" t="s">
        <v>300</v>
      </c>
      <c r="D169" s="761">
        <v>0</v>
      </c>
      <c r="E169" s="761">
        <v>0</v>
      </c>
      <c r="F169" s="762">
        <v>15000</v>
      </c>
      <c r="G169" s="760" t="str">
        <f t="shared" si="21"/>
        <v/>
      </c>
      <c r="I169" s="584"/>
      <c r="J169" s="132"/>
    </row>
    <row r="170" spans="2:10" ht="25.5">
      <c r="B170" s="756">
        <v>723123</v>
      </c>
      <c r="C170" s="801" t="s">
        <v>302</v>
      </c>
      <c r="D170" s="758">
        <v>708690</v>
      </c>
      <c r="E170" s="758">
        <v>708690</v>
      </c>
      <c r="F170" s="759">
        <v>709100</v>
      </c>
      <c r="G170" s="760">
        <f t="shared" si="21"/>
        <v>100.05785322214227</v>
      </c>
      <c r="I170" s="584"/>
      <c r="J170" s="132"/>
    </row>
    <row r="171" spans="2:10" ht="15" customHeight="1">
      <c r="B171" s="774">
        <v>723129</v>
      </c>
      <c r="C171" s="802" t="s">
        <v>301</v>
      </c>
      <c r="D171" s="776">
        <v>2620</v>
      </c>
      <c r="E171" s="776">
        <v>2620</v>
      </c>
      <c r="F171" s="777">
        <v>2650</v>
      </c>
      <c r="G171" s="778">
        <f t="shared" si="21"/>
        <v>101.14503816793894</v>
      </c>
      <c r="I171" s="584"/>
      <c r="J171" s="132"/>
    </row>
    <row r="172" spans="2:10">
      <c r="B172" s="756"/>
      <c r="C172" s="801"/>
      <c r="D172" s="758"/>
      <c r="E172" s="758"/>
      <c r="F172" s="759"/>
      <c r="G172" s="779" t="str">
        <f t="shared" si="21"/>
        <v/>
      </c>
      <c r="I172" s="584"/>
      <c r="J172" s="132"/>
    </row>
    <row r="173" spans="2:10" ht="17.100000000000001" customHeight="1">
      <c r="B173" s="850" t="s">
        <v>320</v>
      </c>
      <c r="C173" s="851"/>
      <c r="D173" s="803">
        <f>D5+D62</f>
        <v>41199040</v>
      </c>
      <c r="E173" s="803">
        <f>E5+E62</f>
        <v>41199040</v>
      </c>
      <c r="F173" s="804">
        <f>F5+F62</f>
        <v>41802840</v>
      </c>
      <c r="G173" s="805">
        <f t="shared" si="21"/>
        <v>101.46556812974283</v>
      </c>
      <c r="I173" s="584"/>
      <c r="J173" s="132"/>
    </row>
    <row r="174" spans="2:10">
      <c r="B174" s="806"/>
      <c r="C174" s="807"/>
      <c r="D174" s="808"/>
      <c r="E174" s="808"/>
      <c r="F174" s="809"/>
      <c r="G174" s="779" t="str">
        <f t="shared" si="21"/>
        <v/>
      </c>
      <c r="I174" s="584"/>
      <c r="J174" s="132"/>
    </row>
    <row r="175" spans="2:10" ht="17.100000000000001" customHeight="1">
      <c r="B175" s="742">
        <v>730000</v>
      </c>
      <c r="C175" s="747" t="s">
        <v>358</v>
      </c>
      <c r="D175" s="744">
        <f>D176+D182+D201</f>
        <v>6310621</v>
      </c>
      <c r="E175" s="744">
        <f>E176+E182+E201</f>
        <v>6310621</v>
      </c>
      <c r="F175" s="745">
        <f>F176+F182+F201</f>
        <v>7977120</v>
      </c>
      <c r="G175" s="746">
        <f t="shared" si="21"/>
        <v>126.40784480639861</v>
      </c>
      <c r="I175" s="584"/>
      <c r="J175" s="132"/>
    </row>
    <row r="176" spans="2:10" ht="25.5">
      <c r="B176" s="742">
        <v>731000</v>
      </c>
      <c r="C176" s="747" t="s">
        <v>341</v>
      </c>
      <c r="D176" s="748">
        <f>D177</f>
        <v>37851</v>
      </c>
      <c r="E176" s="748">
        <f>E177</f>
        <v>37851</v>
      </c>
      <c r="F176" s="749">
        <f>F177</f>
        <v>30280</v>
      </c>
      <c r="G176" s="750">
        <f t="shared" si="21"/>
        <v>79.997886449499362</v>
      </c>
      <c r="I176" s="584"/>
      <c r="J176" s="132"/>
    </row>
    <row r="177" spans="2:11" ht="15" customHeight="1">
      <c r="B177" s="786">
        <v>731100</v>
      </c>
      <c r="C177" s="787" t="s">
        <v>342</v>
      </c>
      <c r="D177" s="788">
        <f>D178+D180</f>
        <v>37851</v>
      </c>
      <c r="E177" s="788">
        <f>E178+E180</f>
        <v>37851</v>
      </c>
      <c r="F177" s="789">
        <f>F178+F180</f>
        <v>30280</v>
      </c>
      <c r="G177" s="783">
        <f t="shared" si="21"/>
        <v>79.997886449499362</v>
      </c>
      <c r="I177" s="584"/>
      <c r="J177" s="132"/>
    </row>
    <row r="178" spans="2:11" ht="15" customHeight="1">
      <c r="B178" s="756">
        <v>731111</v>
      </c>
      <c r="C178" s="757" t="s">
        <v>452</v>
      </c>
      <c r="D178" s="758">
        <f t="shared" ref="D178:F178" si="35">D179</f>
        <v>0</v>
      </c>
      <c r="E178" s="758">
        <f t="shared" si="35"/>
        <v>0</v>
      </c>
      <c r="F178" s="759">
        <f t="shared" si="35"/>
        <v>0</v>
      </c>
      <c r="G178" s="779" t="str">
        <f t="shared" si="21"/>
        <v/>
      </c>
      <c r="I178" s="584"/>
      <c r="J178" s="132"/>
    </row>
    <row r="179" spans="2:11" s="507" customFormat="1" ht="15" customHeight="1">
      <c r="B179" s="769"/>
      <c r="C179" s="790" t="s">
        <v>773</v>
      </c>
      <c r="D179" s="771">
        <v>0</v>
      </c>
      <c r="E179" s="771">
        <v>0</v>
      </c>
      <c r="F179" s="772">
        <v>0</v>
      </c>
      <c r="G179" s="791" t="str">
        <f t="shared" si="21"/>
        <v/>
      </c>
      <c r="H179" s="508"/>
      <c r="I179" s="586"/>
      <c r="J179" s="509"/>
      <c r="K179" s="508"/>
    </row>
    <row r="180" spans="2:11" ht="15" customHeight="1">
      <c r="B180" s="756">
        <v>731121</v>
      </c>
      <c r="C180" s="757" t="s">
        <v>343</v>
      </c>
      <c r="D180" s="758">
        <f>SUM(D181:D181)</f>
        <v>37851</v>
      </c>
      <c r="E180" s="758">
        <f>SUM(E181:E181)</f>
        <v>37851</v>
      </c>
      <c r="F180" s="759">
        <f>SUM(F181:F181)</f>
        <v>30280</v>
      </c>
      <c r="G180" s="779">
        <f t="shared" si="21"/>
        <v>79.997886449499362</v>
      </c>
      <c r="I180" s="584"/>
      <c r="J180" s="132"/>
    </row>
    <row r="181" spans="2:11" s="507" customFormat="1" ht="15" customHeight="1">
      <c r="B181" s="769"/>
      <c r="C181" s="790" t="s">
        <v>834</v>
      </c>
      <c r="D181" s="771">
        <v>37851</v>
      </c>
      <c r="E181" s="771">
        <v>37851</v>
      </c>
      <c r="F181" s="772">
        <v>30280</v>
      </c>
      <c r="G181" s="791">
        <f t="shared" si="21"/>
        <v>79.997886449499362</v>
      </c>
      <c r="H181" s="508"/>
      <c r="I181" s="586"/>
      <c r="J181" s="509"/>
      <c r="K181" s="508"/>
    </row>
    <row r="182" spans="2:11" ht="17.100000000000001" customHeight="1">
      <c r="B182" s="810">
        <v>732000</v>
      </c>
      <c r="C182" s="747" t="s">
        <v>344</v>
      </c>
      <c r="D182" s="748">
        <f>D183</f>
        <v>6270720</v>
      </c>
      <c r="E182" s="748">
        <f>E183</f>
        <v>6270720</v>
      </c>
      <c r="F182" s="749">
        <f>F183</f>
        <v>7946840</v>
      </c>
      <c r="G182" s="750">
        <f t="shared" si="21"/>
        <v>126.72930700142886</v>
      </c>
      <c r="I182" s="584"/>
      <c r="J182" s="132"/>
    </row>
    <row r="183" spans="2:11" ht="15" customHeight="1">
      <c r="B183" s="786">
        <v>732100</v>
      </c>
      <c r="C183" s="787" t="s">
        <v>345</v>
      </c>
      <c r="D183" s="788">
        <f>D184+D198</f>
        <v>6270720</v>
      </c>
      <c r="E183" s="788">
        <f>E184+E198</f>
        <v>6270720</v>
      </c>
      <c r="F183" s="789">
        <f>F184+F198</f>
        <v>7946840</v>
      </c>
      <c r="G183" s="783">
        <f t="shared" si="21"/>
        <v>126.72930700142886</v>
      </c>
      <c r="I183" s="584"/>
      <c r="J183" s="132"/>
    </row>
    <row r="184" spans="2:11" ht="15" customHeight="1">
      <c r="B184" s="751">
        <v>732110</v>
      </c>
      <c r="C184" s="763" t="s">
        <v>346</v>
      </c>
      <c r="D184" s="764">
        <f>D185+D188+D196</f>
        <v>6168720</v>
      </c>
      <c r="E184" s="764">
        <f>E185+E188+E196</f>
        <v>6168720</v>
      </c>
      <c r="F184" s="765">
        <f>F185+F188+F196</f>
        <v>7857835</v>
      </c>
      <c r="G184" s="783">
        <f t="shared" si="21"/>
        <v>127.38193660921553</v>
      </c>
      <c r="I184" s="584"/>
      <c r="J184" s="132"/>
    </row>
    <row r="185" spans="2:11" ht="15" customHeight="1">
      <c r="B185" s="756">
        <v>732111</v>
      </c>
      <c r="C185" s="757" t="s">
        <v>786</v>
      </c>
      <c r="D185" s="758">
        <f>SUM(D186:D187)</f>
        <v>286810</v>
      </c>
      <c r="E185" s="758">
        <f>SUM(E186:E187)</f>
        <v>286810</v>
      </c>
      <c r="F185" s="759">
        <f>SUM(F186:F187)</f>
        <v>0</v>
      </c>
      <c r="G185" s="779">
        <f t="shared" si="21"/>
        <v>0</v>
      </c>
      <c r="I185" s="584"/>
      <c r="J185" s="132"/>
    </row>
    <row r="186" spans="2:11" s="507" customFormat="1" ht="16.5" customHeight="1">
      <c r="B186" s="769"/>
      <c r="C186" s="790" t="s">
        <v>836</v>
      </c>
      <c r="D186" s="771">
        <v>167750</v>
      </c>
      <c r="E186" s="771">
        <v>167750</v>
      </c>
      <c r="F186" s="772">
        <v>0</v>
      </c>
      <c r="G186" s="791">
        <f t="shared" si="21"/>
        <v>0</v>
      </c>
      <c r="H186" s="508"/>
      <c r="I186" s="580"/>
      <c r="J186" s="509"/>
      <c r="K186" s="508"/>
    </row>
    <row r="187" spans="2:11" s="507" customFormat="1" ht="15" customHeight="1">
      <c r="B187" s="769"/>
      <c r="C187" s="790" t="s">
        <v>787</v>
      </c>
      <c r="D187" s="771">
        <v>119060</v>
      </c>
      <c r="E187" s="771">
        <v>119060</v>
      </c>
      <c r="F187" s="772">
        <v>0</v>
      </c>
      <c r="G187" s="791">
        <f t="shared" ref="G187" si="36">IF(E187=0,"",F187/E187*100)</f>
        <v>0</v>
      </c>
      <c r="H187" s="508"/>
      <c r="I187" s="586"/>
      <c r="J187" s="509"/>
      <c r="K187" s="508"/>
    </row>
    <row r="188" spans="2:11" ht="15" customHeight="1">
      <c r="B188" s="756">
        <v>732112</v>
      </c>
      <c r="C188" s="757" t="s">
        <v>347</v>
      </c>
      <c r="D188" s="758">
        <f t="shared" ref="D188:F188" si="37">SUM(D189:D195)</f>
        <v>5881910</v>
      </c>
      <c r="E188" s="758">
        <f t="shared" ref="E188" si="38">SUM(E189:E195)</f>
        <v>5881910</v>
      </c>
      <c r="F188" s="759">
        <f t="shared" si="37"/>
        <v>7857835</v>
      </c>
      <c r="G188" s="779">
        <f t="shared" si="21"/>
        <v>133.59325457206927</v>
      </c>
      <c r="I188" s="584"/>
      <c r="J188" s="132"/>
    </row>
    <row r="189" spans="2:11" s="507" customFormat="1" ht="15" customHeight="1">
      <c r="B189" s="769"/>
      <c r="C189" s="811" t="s">
        <v>628</v>
      </c>
      <c r="D189" s="771">
        <v>37620</v>
      </c>
      <c r="E189" s="771">
        <v>37620</v>
      </c>
      <c r="F189" s="772">
        <v>4865</v>
      </c>
      <c r="G189" s="791">
        <f t="shared" si="21"/>
        <v>12.931951089845828</v>
      </c>
      <c r="H189" s="508"/>
      <c r="I189" s="586"/>
      <c r="J189" s="509"/>
      <c r="K189" s="508"/>
    </row>
    <row r="190" spans="2:11" s="507" customFormat="1" ht="25.5">
      <c r="B190" s="769"/>
      <c r="C190" s="790" t="s">
        <v>627</v>
      </c>
      <c r="D190" s="771">
        <v>234490</v>
      </c>
      <c r="E190" s="771">
        <v>234490</v>
      </c>
      <c r="F190" s="772">
        <v>231000</v>
      </c>
      <c r="G190" s="791">
        <f t="shared" si="21"/>
        <v>98.511663610388496</v>
      </c>
      <c r="H190" s="508"/>
      <c r="I190" s="586"/>
      <c r="J190" s="509"/>
      <c r="K190" s="508"/>
    </row>
    <row r="191" spans="2:11" s="507" customFormat="1" ht="25.5">
      <c r="B191" s="769"/>
      <c r="C191" s="790" t="s">
        <v>629</v>
      </c>
      <c r="D191" s="771">
        <v>7830</v>
      </c>
      <c r="E191" s="771">
        <v>7830</v>
      </c>
      <c r="F191" s="772">
        <v>0</v>
      </c>
      <c r="G191" s="791">
        <f t="shared" si="21"/>
        <v>0</v>
      </c>
      <c r="H191" s="508"/>
      <c r="I191" s="586"/>
      <c r="J191" s="508"/>
      <c r="K191" s="508"/>
    </row>
    <row r="192" spans="2:11" s="507" customFormat="1" ht="25.5">
      <c r="B192" s="769"/>
      <c r="C192" s="790" t="s">
        <v>903</v>
      </c>
      <c r="D192" s="771">
        <v>0</v>
      </c>
      <c r="E192" s="771">
        <v>0</v>
      </c>
      <c r="F192" s="772">
        <v>20000</v>
      </c>
      <c r="G192" s="791" t="str">
        <f t="shared" ref="G192" si="39">IF(E192=0,"",F192/E192*100)</f>
        <v/>
      </c>
      <c r="H192" s="508"/>
      <c r="I192" s="586"/>
      <c r="J192" s="508"/>
      <c r="K192" s="508"/>
    </row>
    <row r="193" spans="2:11" s="507" customFormat="1" ht="17.100000000000001" customHeight="1">
      <c r="B193" s="769"/>
      <c r="C193" s="790" t="s">
        <v>319</v>
      </c>
      <c r="D193" s="771">
        <v>0</v>
      </c>
      <c r="E193" s="771">
        <v>0</v>
      </c>
      <c r="F193" s="772">
        <v>0</v>
      </c>
      <c r="G193" s="791" t="str">
        <f t="shared" si="21"/>
        <v/>
      </c>
      <c r="H193" s="508"/>
      <c r="I193" s="586"/>
      <c r="J193" s="508"/>
      <c r="K193" s="508"/>
    </row>
    <row r="194" spans="2:11" s="507" customFormat="1" ht="17.100000000000001" customHeight="1">
      <c r="B194" s="769"/>
      <c r="C194" s="790" t="s">
        <v>835</v>
      </c>
      <c r="D194" s="771">
        <v>1000000</v>
      </c>
      <c r="E194" s="771">
        <v>1000000</v>
      </c>
      <c r="F194" s="772">
        <v>3000000</v>
      </c>
      <c r="G194" s="791">
        <f t="shared" si="21"/>
        <v>300</v>
      </c>
      <c r="H194" s="508"/>
      <c r="I194" s="586"/>
      <c r="J194" s="508"/>
      <c r="K194" s="508"/>
    </row>
    <row r="195" spans="2:11" s="507" customFormat="1" ht="17.100000000000001" customHeight="1">
      <c r="B195" s="769"/>
      <c r="C195" s="790" t="s">
        <v>774</v>
      </c>
      <c r="D195" s="771">
        <f>7601970-3000000</f>
        <v>4601970</v>
      </c>
      <c r="E195" s="771">
        <f>7601970-3000000</f>
        <v>4601970</v>
      </c>
      <c r="F195" s="772">
        <v>4601970</v>
      </c>
      <c r="G195" s="791">
        <f t="shared" si="21"/>
        <v>100</v>
      </c>
      <c r="H195" s="508"/>
      <c r="I195" s="586"/>
      <c r="J195" s="508"/>
      <c r="K195" s="508"/>
    </row>
    <row r="196" spans="2:11" ht="15" customHeight="1">
      <c r="B196" s="756">
        <v>732115</v>
      </c>
      <c r="C196" s="757" t="s">
        <v>509</v>
      </c>
      <c r="D196" s="758">
        <f t="shared" ref="D196:F196" si="40">D197</f>
        <v>0</v>
      </c>
      <c r="E196" s="758">
        <f t="shared" si="40"/>
        <v>0</v>
      </c>
      <c r="F196" s="759">
        <f t="shared" si="40"/>
        <v>0</v>
      </c>
      <c r="G196" s="779" t="str">
        <f t="shared" si="21"/>
        <v/>
      </c>
      <c r="I196" s="584"/>
    </row>
    <row r="197" spans="2:11" s="507" customFormat="1" ht="15" customHeight="1">
      <c r="B197" s="769"/>
      <c r="C197" s="770" t="s">
        <v>775</v>
      </c>
      <c r="D197" s="812">
        <v>0</v>
      </c>
      <c r="E197" s="812">
        <v>0</v>
      </c>
      <c r="F197" s="813">
        <v>0</v>
      </c>
      <c r="G197" s="791" t="str">
        <f t="shared" si="21"/>
        <v/>
      </c>
      <c r="H197" s="508"/>
      <c r="I197" s="586"/>
      <c r="J197" s="508"/>
      <c r="K197" s="508"/>
    </row>
    <row r="198" spans="2:11" ht="15" customHeight="1">
      <c r="B198" s="751">
        <v>732130</v>
      </c>
      <c r="C198" s="763" t="s">
        <v>482</v>
      </c>
      <c r="D198" s="764">
        <f>SUM(D199:D200)</f>
        <v>102000</v>
      </c>
      <c r="E198" s="764">
        <f>SUM(E199:E200)</f>
        <v>102000</v>
      </c>
      <c r="F198" s="765">
        <f>SUM(F199:F200)</f>
        <v>89005</v>
      </c>
      <c r="G198" s="783">
        <f t="shared" si="21"/>
        <v>87.259803921568619</v>
      </c>
      <c r="I198" s="584"/>
    </row>
    <row r="199" spans="2:11" ht="15" customHeight="1">
      <c r="B199" s="756">
        <v>732131</v>
      </c>
      <c r="C199" s="785" t="s">
        <v>692</v>
      </c>
      <c r="D199" s="761">
        <f>4750+4950+4800+5760+4750+4750+2050+3590+4750+1590+2970+960+1580+1580+1590+1580+1980+5280+3170+1480</f>
        <v>63910</v>
      </c>
      <c r="E199" s="761">
        <f>4750+4950+4800+5760+4750+4750+2050+3590+4750+1590+2970+960+1580+1580+1590+1580+1980+5280+3170+1480</f>
        <v>63910</v>
      </c>
      <c r="F199" s="762">
        <v>51205</v>
      </c>
      <c r="G199" s="779">
        <f t="shared" si="21"/>
        <v>80.120481927710841</v>
      </c>
      <c r="H199" s="378"/>
      <c r="I199" s="584"/>
    </row>
    <row r="200" spans="2:11" ht="15" customHeight="1">
      <c r="B200" s="756">
        <v>732131</v>
      </c>
      <c r="C200" s="785" t="s">
        <v>500</v>
      </c>
      <c r="D200" s="761">
        <f>4070+4200+9600+4200+4200+3420+4200+4200</f>
        <v>38090</v>
      </c>
      <c r="E200" s="761">
        <f>4070+4200+9600+4200+4200+3420+4200+4200</f>
        <v>38090</v>
      </c>
      <c r="F200" s="762">
        <f>9*7*600</f>
        <v>37800</v>
      </c>
      <c r="G200" s="779">
        <f t="shared" si="21"/>
        <v>99.238645313730629</v>
      </c>
      <c r="H200" s="378"/>
      <c r="I200" s="584"/>
    </row>
    <row r="201" spans="2:11" ht="17.100000000000001" customHeight="1">
      <c r="B201" s="810">
        <v>733000</v>
      </c>
      <c r="C201" s="747" t="s">
        <v>303</v>
      </c>
      <c r="D201" s="748">
        <f>D202</f>
        <v>2050</v>
      </c>
      <c r="E201" s="748">
        <f>E202</f>
        <v>2050</v>
      </c>
      <c r="F201" s="749">
        <f>F202</f>
        <v>0</v>
      </c>
      <c r="G201" s="750">
        <f t="shared" si="21"/>
        <v>0</v>
      </c>
      <c r="I201" s="584"/>
    </row>
    <row r="202" spans="2:11" ht="15" customHeight="1">
      <c r="B202" s="786">
        <v>733100</v>
      </c>
      <c r="C202" s="787" t="s">
        <v>304</v>
      </c>
      <c r="D202" s="788">
        <f>D203+D207</f>
        <v>2050</v>
      </c>
      <c r="E202" s="788">
        <f>E203+E207</f>
        <v>2050</v>
      </c>
      <c r="F202" s="789">
        <f>F203+F207</f>
        <v>0</v>
      </c>
      <c r="G202" s="783">
        <f t="shared" si="21"/>
        <v>0</v>
      </c>
      <c r="I202" s="584"/>
    </row>
    <row r="203" spans="2:11" ht="15" customHeight="1">
      <c r="B203" s="751">
        <v>733110</v>
      </c>
      <c r="C203" s="763" t="s">
        <v>305</v>
      </c>
      <c r="D203" s="764">
        <f t="shared" ref="D203:E203" si="41">D204+D205+D206</f>
        <v>2050</v>
      </c>
      <c r="E203" s="764">
        <f t="shared" si="41"/>
        <v>2050</v>
      </c>
      <c r="F203" s="765">
        <f t="shared" ref="F203" si="42">F204+F205+F206</f>
        <v>0</v>
      </c>
      <c r="G203" s="783">
        <f t="shared" si="21"/>
        <v>0</v>
      </c>
      <c r="I203" s="584"/>
    </row>
    <row r="204" spans="2:11" s="564" customFormat="1" ht="15" customHeight="1">
      <c r="B204" s="756">
        <v>733112</v>
      </c>
      <c r="C204" s="814" t="s">
        <v>811</v>
      </c>
      <c r="D204" s="761">
        <v>850</v>
      </c>
      <c r="E204" s="761">
        <v>850</v>
      </c>
      <c r="F204" s="762">
        <v>0</v>
      </c>
      <c r="G204" s="779"/>
      <c r="H204" s="121"/>
      <c r="I204" s="584"/>
      <c r="J204" s="121"/>
      <c r="K204" s="121"/>
    </row>
    <row r="205" spans="2:11" s="564" customFormat="1" ht="15" customHeight="1">
      <c r="B205" s="756">
        <v>733112</v>
      </c>
      <c r="C205" s="814" t="s">
        <v>812</v>
      </c>
      <c r="D205" s="761">
        <v>800</v>
      </c>
      <c r="E205" s="761">
        <v>800</v>
      </c>
      <c r="F205" s="762">
        <v>0</v>
      </c>
      <c r="G205" s="779"/>
      <c r="H205" s="121"/>
      <c r="I205" s="584"/>
      <c r="J205" s="121"/>
      <c r="K205" s="121"/>
    </row>
    <row r="206" spans="2:11" s="531" customFormat="1" ht="15" customHeight="1">
      <c r="B206" s="756">
        <v>733112</v>
      </c>
      <c r="C206" s="814" t="s">
        <v>810</v>
      </c>
      <c r="D206" s="761">
        <v>400</v>
      </c>
      <c r="E206" s="761">
        <v>400</v>
      </c>
      <c r="F206" s="762">
        <v>0</v>
      </c>
      <c r="G206" s="779"/>
      <c r="H206" s="121"/>
      <c r="I206" s="584"/>
      <c r="J206" s="121"/>
      <c r="K206" s="121"/>
    </row>
    <row r="207" spans="2:11" ht="15" customHeight="1">
      <c r="B207" s="751">
        <v>733120</v>
      </c>
      <c r="C207" s="763" t="s">
        <v>306</v>
      </c>
      <c r="D207" s="764">
        <v>0</v>
      </c>
      <c r="E207" s="764">
        <v>0</v>
      </c>
      <c r="F207" s="765">
        <v>0</v>
      </c>
      <c r="G207" s="783" t="str">
        <f t="shared" si="21"/>
        <v/>
      </c>
      <c r="I207" s="584"/>
    </row>
    <row r="208" spans="2:11" ht="15">
      <c r="B208" s="815"/>
      <c r="C208" s="784"/>
      <c r="D208" s="753"/>
      <c r="E208" s="753"/>
      <c r="F208" s="754"/>
      <c r="G208" s="779" t="str">
        <f t="shared" si="21"/>
        <v/>
      </c>
      <c r="I208" s="584"/>
    </row>
    <row r="209" spans="2:11" ht="17.100000000000001" customHeight="1">
      <c r="B209" s="742">
        <v>740000</v>
      </c>
      <c r="C209" s="747" t="s">
        <v>348</v>
      </c>
      <c r="D209" s="744">
        <f>D210+D219</f>
        <v>242332</v>
      </c>
      <c r="E209" s="744">
        <f>E210+E219</f>
        <v>242332</v>
      </c>
      <c r="F209" s="745">
        <f>F210+F219</f>
        <v>0</v>
      </c>
      <c r="G209" s="746">
        <f t="shared" si="21"/>
        <v>0</v>
      </c>
      <c r="I209" s="584"/>
    </row>
    <row r="210" spans="2:11" ht="25.5">
      <c r="B210" s="810">
        <v>741000</v>
      </c>
      <c r="C210" s="747" t="s">
        <v>349</v>
      </c>
      <c r="D210" s="748">
        <f t="shared" ref="D210:F211" si="43">D211</f>
        <v>32897</v>
      </c>
      <c r="E210" s="748">
        <f t="shared" si="43"/>
        <v>32897</v>
      </c>
      <c r="F210" s="749">
        <f t="shared" si="43"/>
        <v>0</v>
      </c>
      <c r="G210" s="750">
        <f t="shared" ref="G210:G247" si="44">IF(E210=0,"",F210/E210*100)</f>
        <v>0</v>
      </c>
      <c r="I210" s="584"/>
    </row>
    <row r="211" spans="2:11" ht="25.5">
      <c r="B211" s="786">
        <v>741100</v>
      </c>
      <c r="C211" s="792" t="s">
        <v>350</v>
      </c>
      <c r="D211" s="788">
        <f t="shared" si="43"/>
        <v>32897</v>
      </c>
      <c r="E211" s="788">
        <f t="shared" si="43"/>
        <v>32897</v>
      </c>
      <c r="F211" s="789">
        <f t="shared" si="43"/>
        <v>0</v>
      </c>
      <c r="G211" s="783">
        <f t="shared" si="44"/>
        <v>0</v>
      </c>
      <c r="I211" s="584"/>
    </row>
    <row r="212" spans="2:11" ht="15" customHeight="1">
      <c r="B212" s="756">
        <v>741111</v>
      </c>
      <c r="C212" s="757" t="s">
        <v>351</v>
      </c>
      <c r="D212" s="758">
        <f>SUM(D213:D218)</f>
        <v>32897</v>
      </c>
      <c r="E212" s="758">
        <f>SUM(E213:E218)</f>
        <v>32897</v>
      </c>
      <c r="F212" s="759">
        <f>SUM(F213:F218)</f>
        <v>0</v>
      </c>
      <c r="G212" s="779">
        <f t="shared" si="44"/>
        <v>0</v>
      </c>
      <c r="I212" s="584"/>
    </row>
    <row r="213" spans="2:11" s="507" customFormat="1" ht="24.75" customHeight="1">
      <c r="B213" s="769"/>
      <c r="C213" s="790" t="s">
        <v>806</v>
      </c>
      <c r="D213" s="771">
        <v>25101</v>
      </c>
      <c r="E213" s="771">
        <v>25101</v>
      </c>
      <c r="F213" s="772">
        <v>0</v>
      </c>
      <c r="G213" s="791">
        <f t="shared" si="44"/>
        <v>0</v>
      </c>
      <c r="H213" s="508"/>
      <c r="I213" s="586"/>
      <c r="J213" s="508"/>
      <c r="K213" s="508"/>
    </row>
    <row r="214" spans="2:11" s="507" customFormat="1" ht="24.75" customHeight="1">
      <c r="B214" s="769"/>
      <c r="C214" s="790" t="s">
        <v>776</v>
      </c>
      <c r="D214" s="771">
        <v>0</v>
      </c>
      <c r="E214" s="771">
        <v>0</v>
      </c>
      <c r="F214" s="772">
        <v>0</v>
      </c>
      <c r="G214" s="791" t="str">
        <f t="shared" si="44"/>
        <v/>
      </c>
      <c r="H214" s="508"/>
      <c r="I214" s="586"/>
      <c r="J214" s="508"/>
      <c r="K214" s="508"/>
    </row>
    <row r="215" spans="2:11" s="507" customFormat="1" ht="15" customHeight="1">
      <c r="B215" s="769"/>
      <c r="C215" s="790" t="s">
        <v>777</v>
      </c>
      <c r="D215" s="771">
        <v>0</v>
      </c>
      <c r="E215" s="771">
        <v>0</v>
      </c>
      <c r="F215" s="772">
        <v>0</v>
      </c>
      <c r="G215" s="791" t="str">
        <f t="shared" si="44"/>
        <v/>
      </c>
      <c r="H215" s="508"/>
      <c r="I215" s="586"/>
      <c r="J215" s="508"/>
      <c r="K215" s="508"/>
    </row>
    <row r="216" spans="2:11" s="507" customFormat="1" ht="15" customHeight="1">
      <c r="B216" s="769"/>
      <c r="C216" s="790" t="s">
        <v>802</v>
      </c>
      <c r="D216" s="771">
        <v>3797</v>
      </c>
      <c r="E216" s="771">
        <v>3797</v>
      </c>
      <c r="F216" s="772">
        <v>0</v>
      </c>
      <c r="G216" s="791">
        <f t="shared" si="44"/>
        <v>0</v>
      </c>
      <c r="H216" s="508"/>
      <c r="I216" s="586"/>
      <c r="J216" s="508"/>
      <c r="K216" s="508"/>
    </row>
    <row r="217" spans="2:11" s="507" customFormat="1" ht="15" customHeight="1">
      <c r="B217" s="769"/>
      <c r="C217" s="790" t="s">
        <v>778</v>
      </c>
      <c r="D217" s="771">
        <v>0</v>
      </c>
      <c r="E217" s="771">
        <v>0</v>
      </c>
      <c r="F217" s="772">
        <v>0</v>
      </c>
      <c r="G217" s="791" t="str">
        <f t="shared" si="44"/>
        <v/>
      </c>
      <c r="H217" s="508"/>
      <c r="I217" s="586"/>
      <c r="J217" s="508"/>
      <c r="K217" s="508"/>
    </row>
    <row r="218" spans="2:11" s="507" customFormat="1" ht="15" customHeight="1">
      <c r="B218" s="769"/>
      <c r="C218" s="790" t="s">
        <v>805</v>
      </c>
      <c r="D218" s="771">
        <v>3999</v>
      </c>
      <c r="E218" s="771">
        <v>3999</v>
      </c>
      <c r="F218" s="772">
        <v>0</v>
      </c>
      <c r="G218" s="791">
        <f t="shared" si="44"/>
        <v>0</v>
      </c>
      <c r="H218" s="508"/>
      <c r="I218" s="586"/>
      <c r="J218" s="508"/>
      <c r="K218" s="508"/>
    </row>
    <row r="219" spans="2:11" ht="25.5" customHeight="1">
      <c r="B219" s="810">
        <v>742000</v>
      </c>
      <c r="C219" s="747" t="s">
        <v>352</v>
      </c>
      <c r="D219" s="748">
        <f>D220+D228</f>
        <v>209435</v>
      </c>
      <c r="E219" s="748">
        <f>E220+E228</f>
        <v>209435</v>
      </c>
      <c r="F219" s="749">
        <f>F220+F228</f>
        <v>0</v>
      </c>
      <c r="G219" s="750">
        <f t="shared" si="44"/>
        <v>0</v>
      </c>
      <c r="I219" s="584"/>
    </row>
    <row r="220" spans="2:11" ht="15" customHeight="1">
      <c r="B220" s="786">
        <v>742100</v>
      </c>
      <c r="C220" s="792" t="s">
        <v>353</v>
      </c>
      <c r="D220" s="788">
        <f>D221+D226</f>
        <v>209435</v>
      </c>
      <c r="E220" s="788">
        <f>E221+E226</f>
        <v>209435</v>
      </c>
      <c r="F220" s="789">
        <f>F221+F226</f>
        <v>0</v>
      </c>
      <c r="G220" s="783">
        <f t="shared" si="44"/>
        <v>0</v>
      </c>
      <c r="I220" s="584"/>
    </row>
    <row r="221" spans="2:11" ht="15" customHeight="1">
      <c r="B221" s="756">
        <v>742112</v>
      </c>
      <c r="C221" s="785" t="s">
        <v>354</v>
      </c>
      <c r="D221" s="758">
        <f>SUM(D222:D225)</f>
        <v>209435</v>
      </c>
      <c r="E221" s="758">
        <f>SUM(E222:E225)</f>
        <v>209435</v>
      </c>
      <c r="F221" s="759">
        <f>SUM(F222:F225)</f>
        <v>0</v>
      </c>
      <c r="G221" s="779">
        <f t="shared" si="44"/>
        <v>0</v>
      </c>
      <c r="I221" s="584"/>
    </row>
    <row r="222" spans="2:11" s="507" customFormat="1" ht="25.5">
      <c r="B222" s="786"/>
      <c r="C222" s="793" t="s">
        <v>791</v>
      </c>
      <c r="D222" s="771">
        <v>100000</v>
      </c>
      <c r="E222" s="771">
        <v>100000</v>
      </c>
      <c r="F222" s="772">
        <v>0</v>
      </c>
      <c r="G222" s="791">
        <f t="shared" si="44"/>
        <v>0</v>
      </c>
      <c r="H222" s="508"/>
      <c r="I222" s="586"/>
      <c r="J222" s="508"/>
      <c r="K222" s="508"/>
    </row>
    <row r="223" spans="2:11" s="507" customFormat="1" ht="26.25" customHeight="1">
      <c r="B223" s="786"/>
      <c r="C223" s="793" t="s">
        <v>804</v>
      </c>
      <c r="D223" s="771">
        <v>100000</v>
      </c>
      <c r="E223" s="771">
        <v>100000</v>
      </c>
      <c r="F223" s="772">
        <v>0</v>
      </c>
      <c r="G223" s="791">
        <f t="shared" si="44"/>
        <v>0</v>
      </c>
      <c r="H223" s="508"/>
      <c r="I223" s="586"/>
      <c r="J223" s="508"/>
      <c r="K223" s="508"/>
    </row>
    <row r="224" spans="2:11" s="507" customFormat="1" ht="24.75" customHeight="1">
      <c r="B224" s="769"/>
      <c r="C224" s="793" t="s">
        <v>779</v>
      </c>
      <c r="D224" s="771">
        <v>0</v>
      </c>
      <c r="E224" s="771">
        <v>0</v>
      </c>
      <c r="F224" s="772">
        <v>0</v>
      </c>
      <c r="G224" s="791" t="str">
        <f t="shared" si="44"/>
        <v/>
      </c>
      <c r="H224" s="508"/>
      <c r="I224" s="586"/>
      <c r="J224" s="508"/>
      <c r="K224" s="508"/>
    </row>
    <row r="225" spans="2:11" s="507" customFormat="1" ht="24.75" customHeight="1">
      <c r="B225" s="769"/>
      <c r="C225" s="793" t="s">
        <v>803</v>
      </c>
      <c r="D225" s="771">
        <v>9435</v>
      </c>
      <c r="E225" s="771">
        <v>9435</v>
      </c>
      <c r="F225" s="772">
        <v>0</v>
      </c>
      <c r="G225" s="791">
        <f t="shared" si="44"/>
        <v>0</v>
      </c>
      <c r="H225" s="508"/>
      <c r="I225" s="586"/>
      <c r="J225" s="508"/>
      <c r="K225" s="508"/>
    </row>
    <row r="226" spans="2:11" ht="15" customHeight="1">
      <c r="B226" s="756">
        <v>742116</v>
      </c>
      <c r="C226" s="757" t="s">
        <v>781</v>
      </c>
      <c r="D226" s="761">
        <f>D227</f>
        <v>0</v>
      </c>
      <c r="E226" s="761">
        <f>E227</f>
        <v>0</v>
      </c>
      <c r="F226" s="762">
        <f>F227</f>
        <v>0</v>
      </c>
      <c r="G226" s="779" t="str">
        <f t="shared" si="44"/>
        <v/>
      </c>
      <c r="I226" s="584"/>
      <c r="J226" s="132"/>
    </row>
    <row r="227" spans="2:11" ht="15.75" customHeight="1">
      <c r="B227" s="756"/>
      <c r="C227" s="793" t="s">
        <v>780</v>
      </c>
      <c r="D227" s="761">
        <v>0</v>
      </c>
      <c r="E227" s="761">
        <v>0</v>
      </c>
      <c r="F227" s="762">
        <v>0</v>
      </c>
      <c r="G227" s="779" t="str">
        <f t="shared" si="44"/>
        <v/>
      </c>
      <c r="I227" s="584"/>
      <c r="J227" s="132"/>
    </row>
    <row r="228" spans="2:11" ht="15" customHeight="1">
      <c r="B228" s="786">
        <v>742200</v>
      </c>
      <c r="C228" s="792" t="s">
        <v>508</v>
      </c>
      <c r="D228" s="788">
        <f t="shared" ref="D228:F229" si="45">D229</f>
        <v>0</v>
      </c>
      <c r="E228" s="788">
        <f t="shared" si="45"/>
        <v>0</v>
      </c>
      <c r="F228" s="789">
        <f t="shared" si="45"/>
        <v>0</v>
      </c>
      <c r="G228" s="783" t="str">
        <f t="shared" si="44"/>
        <v/>
      </c>
      <c r="I228" s="584"/>
    </row>
    <row r="229" spans="2:11" ht="15" customHeight="1">
      <c r="B229" s="756">
        <v>742211</v>
      </c>
      <c r="C229" s="757" t="s">
        <v>508</v>
      </c>
      <c r="D229" s="758">
        <f t="shared" si="45"/>
        <v>0</v>
      </c>
      <c r="E229" s="758">
        <f t="shared" si="45"/>
        <v>0</v>
      </c>
      <c r="F229" s="759">
        <f t="shared" si="45"/>
        <v>0</v>
      </c>
      <c r="G229" s="779" t="str">
        <f t="shared" si="44"/>
        <v/>
      </c>
      <c r="I229" s="584"/>
    </row>
    <row r="230" spans="2:11" ht="15" customHeight="1">
      <c r="B230" s="751"/>
      <c r="C230" s="793" t="s">
        <v>780</v>
      </c>
      <c r="D230" s="761">
        <v>0</v>
      </c>
      <c r="E230" s="761">
        <v>0</v>
      </c>
      <c r="F230" s="762">
        <v>0</v>
      </c>
      <c r="G230" s="779" t="str">
        <f t="shared" si="44"/>
        <v/>
      </c>
      <c r="I230" s="584"/>
    </row>
    <row r="231" spans="2:11">
      <c r="B231" s="751"/>
      <c r="C231" s="793"/>
      <c r="D231" s="761"/>
      <c r="E231" s="761"/>
      <c r="F231" s="762"/>
      <c r="G231" s="779" t="str">
        <f t="shared" si="44"/>
        <v/>
      </c>
      <c r="I231" s="584"/>
    </row>
    <row r="232" spans="2:11" ht="17.100000000000001" customHeight="1">
      <c r="B232" s="742">
        <v>777000</v>
      </c>
      <c r="C232" s="743" t="s">
        <v>307</v>
      </c>
      <c r="D232" s="748">
        <f>SUM(D233:D234)</f>
        <v>357</v>
      </c>
      <c r="E232" s="748">
        <f>SUM(E233:E234)</f>
        <v>357</v>
      </c>
      <c r="F232" s="749">
        <f>SUM(F233:F234)</f>
        <v>390</v>
      </c>
      <c r="G232" s="816">
        <f t="shared" si="44"/>
        <v>109.24369747899159</v>
      </c>
      <c r="I232" s="584"/>
    </row>
    <row r="233" spans="2:11" ht="15" customHeight="1">
      <c r="B233" s="756">
        <v>777778</v>
      </c>
      <c r="C233" s="785" t="s">
        <v>308</v>
      </c>
      <c r="D233" s="758">
        <v>357</v>
      </c>
      <c r="E233" s="758">
        <v>357</v>
      </c>
      <c r="F233" s="759">
        <v>380</v>
      </c>
      <c r="G233" s="779">
        <f t="shared" si="44"/>
        <v>106.44257703081233</v>
      </c>
      <c r="I233" s="584"/>
    </row>
    <row r="234" spans="2:11" ht="15" customHeight="1">
      <c r="B234" s="756">
        <v>777779</v>
      </c>
      <c r="C234" s="757" t="s">
        <v>309</v>
      </c>
      <c r="D234" s="761">
        <v>0</v>
      </c>
      <c r="E234" s="761">
        <v>0</v>
      </c>
      <c r="F234" s="762">
        <v>10</v>
      </c>
      <c r="G234" s="779" t="str">
        <f t="shared" si="44"/>
        <v/>
      </c>
      <c r="I234" s="584"/>
    </row>
    <row r="235" spans="2:11" ht="15" customHeight="1">
      <c r="B235" s="817"/>
      <c r="C235" s="795"/>
      <c r="D235" s="761"/>
      <c r="E235" s="761"/>
      <c r="F235" s="762"/>
      <c r="G235" s="779" t="str">
        <f t="shared" si="44"/>
        <v/>
      </c>
      <c r="I235" s="584"/>
    </row>
    <row r="236" spans="2:11" ht="15" customHeight="1">
      <c r="B236" s="850" t="s">
        <v>321</v>
      </c>
      <c r="C236" s="851"/>
      <c r="D236" s="803">
        <f>D173+D175+D209+D232</f>
        <v>47752350</v>
      </c>
      <c r="E236" s="803">
        <f>E173+E175+E209+E232</f>
        <v>47752350</v>
      </c>
      <c r="F236" s="804">
        <f>F173+F175+F209+F232</f>
        <v>49780350</v>
      </c>
      <c r="G236" s="805">
        <f t="shared" si="44"/>
        <v>104.24691140854847</v>
      </c>
      <c r="I236" s="584"/>
    </row>
    <row r="237" spans="2:11" ht="15" customHeight="1">
      <c r="B237" s="806"/>
      <c r="C237" s="807"/>
      <c r="D237" s="803"/>
      <c r="E237" s="803"/>
      <c r="F237" s="804"/>
      <c r="G237" s="779" t="str">
        <f t="shared" si="44"/>
        <v/>
      </c>
      <c r="I237" s="584"/>
    </row>
    <row r="238" spans="2:11" ht="17.100000000000001" customHeight="1">
      <c r="B238" s="742">
        <v>810000</v>
      </c>
      <c r="C238" s="743" t="s">
        <v>310</v>
      </c>
      <c r="D238" s="744">
        <f>D239</f>
        <v>580</v>
      </c>
      <c r="E238" s="744">
        <f>E239</f>
        <v>580</v>
      </c>
      <c r="F238" s="745">
        <f>F239</f>
        <v>0</v>
      </c>
      <c r="G238" s="750">
        <f t="shared" si="44"/>
        <v>0</v>
      </c>
      <c r="I238" s="584"/>
    </row>
    <row r="239" spans="2:11" ht="17.100000000000001" customHeight="1">
      <c r="B239" s="742">
        <v>811000</v>
      </c>
      <c r="C239" s="747" t="s">
        <v>312</v>
      </c>
      <c r="D239" s="748">
        <f>SUM(D240:D240)</f>
        <v>580</v>
      </c>
      <c r="E239" s="748">
        <f>SUM(E240:E240)</f>
        <v>580</v>
      </c>
      <c r="F239" s="749">
        <f>SUM(F240:F240)</f>
        <v>0</v>
      </c>
      <c r="G239" s="750">
        <f t="shared" si="44"/>
        <v>0</v>
      </c>
      <c r="I239" s="584"/>
    </row>
    <row r="240" spans="2:11" ht="15" customHeight="1">
      <c r="B240" s="786">
        <v>811100</v>
      </c>
      <c r="C240" s="797" t="s">
        <v>311</v>
      </c>
      <c r="D240" s="764">
        <f t="shared" ref="D240:F240" si="46">D241</f>
        <v>580</v>
      </c>
      <c r="E240" s="764">
        <f t="shared" si="46"/>
        <v>580</v>
      </c>
      <c r="F240" s="765">
        <f t="shared" si="46"/>
        <v>0</v>
      </c>
      <c r="G240" s="783">
        <f t="shared" si="44"/>
        <v>0</v>
      </c>
      <c r="I240" s="584"/>
    </row>
    <row r="241" spans="2:11" ht="15" customHeight="1">
      <c r="B241" s="756">
        <v>811114</v>
      </c>
      <c r="C241" s="757" t="s">
        <v>448</v>
      </c>
      <c r="D241" s="758">
        <f t="shared" ref="D241:F241" si="47">SUM(D242:D245)</f>
        <v>580</v>
      </c>
      <c r="E241" s="758">
        <f t="shared" ref="E241" si="48">SUM(E242:E245)</f>
        <v>580</v>
      </c>
      <c r="F241" s="759">
        <f t="shared" si="47"/>
        <v>0</v>
      </c>
      <c r="G241" s="779">
        <f t="shared" si="44"/>
        <v>0</v>
      </c>
      <c r="I241" s="584"/>
    </row>
    <row r="242" spans="2:11" ht="15" customHeight="1">
      <c r="B242" s="769"/>
      <c r="C242" s="790" t="s">
        <v>782</v>
      </c>
      <c r="D242" s="812">
        <v>0</v>
      </c>
      <c r="E242" s="812">
        <v>0</v>
      </c>
      <c r="F242" s="813">
        <v>0</v>
      </c>
      <c r="G242" s="791" t="str">
        <f t="shared" si="44"/>
        <v/>
      </c>
      <c r="I242" s="584"/>
    </row>
    <row r="243" spans="2:11" ht="15" customHeight="1">
      <c r="B243" s="769"/>
      <c r="C243" s="790" t="s">
        <v>783</v>
      </c>
      <c r="D243" s="812">
        <v>0</v>
      </c>
      <c r="E243" s="812">
        <v>0</v>
      </c>
      <c r="F243" s="813">
        <v>0</v>
      </c>
      <c r="G243" s="791" t="str">
        <f t="shared" si="44"/>
        <v/>
      </c>
      <c r="I243" s="584"/>
    </row>
    <row r="244" spans="2:11" s="531" customFormat="1" ht="15" customHeight="1">
      <c r="B244" s="769"/>
      <c r="C244" s="790" t="s">
        <v>809</v>
      </c>
      <c r="D244" s="812">
        <v>580</v>
      </c>
      <c r="E244" s="812">
        <v>580</v>
      </c>
      <c r="F244" s="813">
        <v>0</v>
      </c>
      <c r="G244" s="791">
        <f t="shared" ref="G244" si="49">IF(E244=0,"",F244/E244*100)</f>
        <v>0</v>
      </c>
      <c r="H244" s="121"/>
      <c r="I244" s="584"/>
      <c r="J244" s="121"/>
      <c r="K244" s="121"/>
    </row>
    <row r="245" spans="2:11" ht="15" customHeight="1">
      <c r="B245" s="769"/>
      <c r="C245" s="790" t="s">
        <v>784</v>
      </c>
      <c r="D245" s="812">
        <v>0</v>
      </c>
      <c r="E245" s="812">
        <v>0</v>
      </c>
      <c r="F245" s="813">
        <v>0</v>
      </c>
      <c r="G245" s="791" t="str">
        <f t="shared" si="44"/>
        <v/>
      </c>
      <c r="I245" s="584"/>
    </row>
    <row r="246" spans="2:11" ht="15" customHeight="1" thickBot="1">
      <c r="B246" s="818"/>
      <c r="C246" s="819"/>
      <c r="D246" s="819"/>
      <c r="E246" s="819"/>
      <c r="F246" s="820"/>
      <c r="G246" s="821" t="str">
        <f t="shared" si="44"/>
        <v/>
      </c>
      <c r="I246" s="584"/>
    </row>
    <row r="247" spans="2:11" ht="17.100000000000001" customHeight="1" thickBot="1">
      <c r="B247" s="852" t="s">
        <v>355</v>
      </c>
      <c r="C247" s="853"/>
      <c r="D247" s="822">
        <f>D236+D238</f>
        <v>47752930</v>
      </c>
      <c r="E247" s="822">
        <f>E236+E238</f>
        <v>47752930</v>
      </c>
      <c r="F247" s="823">
        <f>F236+F238</f>
        <v>49780350</v>
      </c>
      <c r="G247" s="824">
        <f t="shared" si="44"/>
        <v>104.24564524103548</v>
      </c>
    </row>
    <row r="248" spans="2:11">
      <c r="F248" s="511"/>
    </row>
    <row r="249" spans="2:11">
      <c r="E249" s="57"/>
      <c r="F249" s="510"/>
    </row>
    <row r="250" spans="2:11">
      <c r="D250" s="57"/>
      <c r="E250" s="57"/>
    </row>
  </sheetData>
  <mergeCells count="4">
    <mergeCell ref="B173:C173"/>
    <mergeCell ref="B236:C236"/>
    <mergeCell ref="B247:C247"/>
    <mergeCell ref="B2:G2"/>
  </mergeCells>
  <pageMargins left="1.3385826771653544" right="0.31496062992125984" top="0.59055118110236227" bottom="0.51181102362204722" header="0.59055118110236227" footer="0.31496062992125984"/>
  <pageSetup paperSize="9" scale="87" firstPageNumber="2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2:O122"/>
  <sheetViews>
    <sheetView topLeftCell="C6" workbookViewId="0">
      <selection activeCell="P41" sqref="P41"/>
    </sheetView>
  </sheetViews>
  <sheetFormatPr defaultColWidth="9.140625" defaultRowHeight="12" customHeight="1"/>
  <cols>
    <col min="1" max="1" width="0.5703125" style="9" hidden="1" customWidth="1"/>
    <col min="2" max="2" width="5.7109375" style="9" hidden="1" customWidth="1"/>
    <col min="3" max="3" width="9.7109375" style="18" customWidth="1"/>
    <col min="4" max="4" width="7.42578125" style="173" customWidth="1"/>
    <col min="5" max="5" width="54" style="9" customWidth="1"/>
    <col min="6" max="7" width="12.7109375" style="9" customWidth="1"/>
    <col min="8" max="9" width="12.7109375" style="168" customWidth="1"/>
    <col min="10" max="10" width="14.7109375" style="9" customWidth="1"/>
    <col min="11" max="11" width="7.85546875" style="69" customWidth="1"/>
    <col min="12" max="12" width="9.140625" style="9"/>
    <col min="13" max="13" width="13.140625" style="9" bestFit="1" customWidth="1"/>
    <col min="14" max="15" width="10.140625" style="9" bestFit="1" customWidth="1"/>
    <col min="16" max="16384" width="9.140625" style="9"/>
  </cols>
  <sheetData>
    <row r="2" spans="2:15" ht="2.25" customHeight="1"/>
    <row r="3" spans="2:15" s="1" customFormat="1" ht="30.75" customHeight="1" thickBot="1">
      <c r="C3" s="859" t="s">
        <v>76</v>
      </c>
      <c r="D3" s="859"/>
      <c r="E3" s="859"/>
      <c r="F3" s="68"/>
      <c r="G3" s="68"/>
      <c r="H3" s="248"/>
      <c r="I3" s="248"/>
      <c r="J3" s="857"/>
      <c r="K3" s="858"/>
    </row>
    <row r="4" spans="2:15" s="1" customFormat="1" ht="39.75" customHeight="1">
      <c r="B4" s="3" t="s">
        <v>77</v>
      </c>
      <c r="C4" s="864" t="s">
        <v>480</v>
      </c>
      <c r="D4" s="866" t="s">
        <v>510</v>
      </c>
      <c r="E4" s="868" t="s">
        <v>79</v>
      </c>
      <c r="F4" s="870" t="s">
        <v>894</v>
      </c>
      <c r="G4" s="872" t="s">
        <v>797</v>
      </c>
      <c r="H4" s="861" t="s">
        <v>852</v>
      </c>
      <c r="I4" s="862"/>
      <c r="J4" s="863"/>
      <c r="K4" s="874" t="s">
        <v>546</v>
      </c>
    </row>
    <row r="5" spans="2:15" s="165" customFormat="1" ht="28.5" customHeight="1">
      <c r="B5" s="251"/>
      <c r="C5" s="865"/>
      <c r="D5" s="867"/>
      <c r="E5" s="869"/>
      <c r="F5" s="871"/>
      <c r="G5" s="873"/>
      <c r="H5" s="610" t="s">
        <v>543</v>
      </c>
      <c r="I5" s="283" t="s">
        <v>544</v>
      </c>
      <c r="J5" s="259" t="s">
        <v>331</v>
      </c>
      <c r="K5" s="875"/>
    </row>
    <row r="6" spans="2:15" s="2" customFormat="1" ht="14.1" customHeight="1">
      <c r="B6" s="4">
        <v>1</v>
      </c>
      <c r="C6" s="357">
        <v>1</v>
      </c>
      <c r="D6" s="195"/>
      <c r="E6" s="202">
        <v>2</v>
      </c>
      <c r="F6" s="358">
        <v>3</v>
      </c>
      <c r="G6" s="553">
        <v>4</v>
      </c>
      <c r="H6" s="195">
        <v>6</v>
      </c>
      <c r="I6" s="202">
        <v>7</v>
      </c>
      <c r="J6" s="360" t="s">
        <v>545</v>
      </c>
      <c r="K6" s="359">
        <v>9</v>
      </c>
    </row>
    <row r="7" spans="2:15" s="2" customFormat="1" ht="15" customHeight="1">
      <c r="B7" s="4"/>
      <c r="C7" s="286"/>
      <c r="D7" s="287"/>
      <c r="E7" s="288" t="s">
        <v>139</v>
      </c>
      <c r="F7" s="289">
        <f>F9+F15+F21+F25+F50+F90+F96+F100+F108</f>
        <v>47745080</v>
      </c>
      <c r="G7" s="617">
        <f>G9+G15+G21+G25+G50+G90+G96+G100+G108</f>
        <v>47745080</v>
      </c>
      <c r="H7" s="611">
        <f>H9+H15+H21+H25+H50+H90+H96+H100+H108</f>
        <v>43660595</v>
      </c>
      <c r="I7" s="289">
        <f>I9+I15+I21+I25+I50+I90+I96+I100+I108</f>
        <v>6116145</v>
      </c>
      <c r="J7" s="266">
        <f>J9+J15+J21+J25+J50+J90+J96+J100+J108</f>
        <v>49776740</v>
      </c>
      <c r="K7" s="290">
        <f>IF(G7=0,"",J7/G7*100)</f>
        <v>104.25522378431454</v>
      </c>
      <c r="M7" s="103"/>
    </row>
    <row r="8" spans="2:15" s="2" customFormat="1" ht="9" customHeight="1">
      <c r="B8" s="4"/>
      <c r="C8" s="4"/>
      <c r="D8" s="195"/>
      <c r="E8" s="21"/>
      <c r="F8" s="19"/>
      <c r="G8" s="618"/>
      <c r="H8" s="612"/>
      <c r="I8" s="162"/>
      <c r="J8" s="266"/>
      <c r="K8" s="76" t="str">
        <f>IF(F8=0,"",J8/F8*100)</f>
        <v/>
      </c>
      <c r="M8" s="67"/>
    </row>
    <row r="9" spans="2:15" s="2" customFormat="1" ht="15" customHeight="1">
      <c r="B9" s="4"/>
      <c r="C9" s="291">
        <v>600000</v>
      </c>
      <c r="D9" s="292"/>
      <c r="E9" s="288" t="s">
        <v>112</v>
      </c>
      <c r="F9" s="289">
        <f>F10+F11+F12+F13</f>
        <v>648000</v>
      </c>
      <c r="G9" s="617">
        <f t="shared" ref="G9" si="0">G10+G11+G12+G13</f>
        <v>648000</v>
      </c>
      <c r="H9" s="611">
        <f>H10+H11+H12+H13</f>
        <v>460000</v>
      </c>
      <c r="I9" s="289">
        <f>I10+I11+I12+I13</f>
        <v>0</v>
      </c>
      <c r="J9" s="266">
        <f>J10+J11+J12+J13</f>
        <v>460000</v>
      </c>
      <c r="K9" s="290">
        <f t="shared" ref="K9:K43" si="1">IF(G9=0,"",J9/G9*100)</f>
        <v>70.987654320987659</v>
      </c>
      <c r="M9" s="103"/>
    </row>
    <row r="10" spans="2:15" s="2" customFormat="1" ht="15" customHeight="1">
      <c r="B10" s="4"/>
      <c r="C10" s="139">
        <v>600000</v>
      </c>
      <c r="D10" s="739"/>
      <c r="E10" s="37" t="s">
        <v>95</v>
      </c>
      <c r="F10" s="39">
        <f>'2'!I9</f>
        <v>600000</v>
      </c>
      <c r="G10" s="619">
        <f>'2'!J9</f>
        <v>600000</v>
      </c>
      <c r="H10" s="613">
        <f>'2'!K9</f>
        <v>400000</v>
      </c>
      <c r="I10" s="133">
        <f>'2'!L9</f>
        <v>0</v>
      </c>
      <c r="J10" s="284">
        <f>'2'!M9</f>
        <v>400000</v>
      </c>
      <c r="K10" s="76">
        <f t="shared" si="1"/>
        <v>66.666666666666657</v>
      </c>
      <c r="O10" s="67"/>
    </row>
    <row r="11" spans="2:15" s="2" customFormat="1" ht="15" customHeight="1">
      <c r="B11" s="4"/>
      <c r="C11" s="139">
        <v>600000</v>
      </c>
      <c r="D11" s="739"/>
      <c r="E11" s="37" t="s">
        <v>96</v>
      </c>
      <c r="F11" s="39">
        <f>'2'!I10</f>
        <v>24000</v>
      </c>
      <c r="G11" s="619">
        <f>'2'!J10</f>
        <v>24000</v>
      </c>
      <c r="H11" s="614">
        <f>'2'!K10</f>
        <v>30000</v>
      </c>
      <c r="I11" s="39">
        <f>'2'!L10</f>
        <v>0</v>
      </c>
      <c r="J11" s="284">
        <f>'2'!M10</f>
        <v>30000</v>
      </c>
      <c r="K11" s="76">
        <f t="shared" si="1"/>
        <v>125</v>
      </c>
      <c r="N11" s="67"/>
    </row>
    <row r="12" spans="2:15" s="2" customFormat="1" ht="15" customHeight="1">
      <c r="B12" s="4"/>
      <c r="C12" s="139">
        <v>600000</v>
      </c>
      <c r="D12" s="739"/>
      <c r="E12" s="37" t="s">
        <v>113</v>
      </c>
      <c r="F12" s="39">
        <f>'2'!I11</f>
        <v>12000</v>
      </c>
      <c r="G12" s="619">
        <f>'2'!J11</f>
        <v>12000</v>
      </c>
      <c r="H12" s="614">
        <f>'2'!K11</f>
        <v>15000</v>
      </c>
      <c r="I12" s="39">
        <f>'2'!L11</f>
        <v>0</v>
      </c>
      <c r="J12" s="284">
        <f>'2'!M11</f>
        <v>15000</v>
      </c>
      <c r="K12" s="76">
        <f t="shared" si="1"/>
        <v>125</v>
      </c>
      <c r="O12" s="67"/>
    </row>
    <row r="13" spans="2:15" s="2" customFormat="1" ht="15" customHeight="1">
      <c r="B13" s="4"/>
      <c r="C13" s="139">
        <v>600000</v>
      </c>
      <c r="D13" s="739"/>
      <c r="E13" s="37" t="s">
        <v>102</v>
      </c>
      <c r="F13" s="39">
        <f>'16'!I9</f>
        <v>12000</v>
      </c>
      <c r="G13" s="619">
        <f>'16'!J9</f>
        <v>12000</v>
      </c>
      <c r="H13" s="614">
        <f>'16'!K9</f>
        <v>15000</v>
      </c>
      <c r="I13" s="39">
        <f>'16'!L9</f>
        <v>0</v>
      </c>
      <c r="J13" s="284">
        <f>'16'!M9</f>
        <v>15000</v>
      </c>
      <c r="K13" s="76">
        <f t="shared" si="1"/>
        <v>125</v>
      </c>
    </row>
    <row r="14" spans="2:15" s="2" customFormat="1" ht="10.5" customHeight="1">
      <c r="B14" s="4"/>
      <c r="C14" s="139"/>
      <c r="D14" s="739"/>
      <c r="E14" s="37"/>
      <c r="F14" s="64"/>
      <c r="G14" s="620"/>
      <c r="H14" s="159"/>
      <c r="I14" s="179"/>
      <c r="J14" s="266"/>
      <c r="K14" s="76" t="str">
        <f t="shared" si="1"/>
        <v/>
      </c>
    </row>
    <row r="15" spans="2:15" s="1" customFormat="1" ht="15" customHeight="1">
      <c r="B15" s="6"/>
      <c r="C15" s="291">
        <v>611000</v>
      </c>
      <c r="D15" s="740"/>
      <c r="E15" s="293" t="s">
        <v>141</v>
      </c>
      <c r="F15" s="294">
        <f>F16+F17</f>
        <v>23584900</v>
      </c>
      <c r="G15" s="621">
        <f t="shared" ref="G15" si="2">G16+G17</f>
        <v>23584900</v>
      </c>
      <c r="H15" s="615">
        <f>H16+H17</f>
        <v>24940276</v>
      </c>
      <c r="I15" s="294">
        <f>I16+I17</f>
        <v>24014</v>
      </c>
      <c r="J15" s="264">
        <f>J16+J17</f>
        <v>24964290</v>
      </c>
      <c r="K15" s="295">
        <f t="shared" si="1"/>
        <v>105.8486150036676</v>
      </c>
      <c r="M15" s="52"/>
      <c r="N15" s="52"/>
      <c r="O15" s="52"/>
    </row>
    <row r="16" spans="2:15" ht="15" customHeight="1">
      <c r="B16" s="10"/>
      <c r="C16" s="140">
        <v>611100</v>
      </c>
      <c r="D16" s="739"/>
      <c r="E16" s="20" t="s">
        <v>167</v>
      </c>
      <c r="F16" s="30">
        <f>'1'!I9+'2'!I14+'6'!I9+'3'!I9+'4'!I9+'7'!I9+'8'!I9+'9'!I9+'10'!I9+'11'!I9+'12'!I9+'13'!I9+'15'!I9+'16'!I12+'17'!I9+'18'!I9+'19'!I9+'20'!I9+'22'!I9+'23'!I9+'21'!I9+'24'!I9+'25'!I9+'26'!I9+'27'!I9+'28'!I9+'29'!I9+'30'!I9+'31'!I9+'32'!I9+'33'!I9+'34'!I9+'35'!I9+'36'!I9+'37'!I9+'5'!I9+'14'!I9</f>
        <v>19599150</v>
      </c>
      <c r="G16" s="622">
        <f>'1'!J9+'2'!J14+'6'!J9+'3'!J9+'4'!J9+'7'!J9+'8'!J9+'9'!J9+'10'!J9+'11'!J9+'12'!J9+'13'!J9+'15'!J9+'16'!J12+'17'!J9+'18'!J9+'19'!J9+'20'!J9+'22'!J9+'23'!J9+'21'!J9+'24'!J9+'25'!J9+'26'!J9+'27'!J9+'28'!J9+'29'!J9+'30'!J9+'31'!J9+'32'!J9+'33'!J9+'34'!J9+'35'!J9+'36'!J9+'37'!J9+'5'!J9+'14'!J9</f>
        <v>19599150</v>
      </c>
      <c r="H16" s="157">
        <f>'1'!K9+'2'!K14+'6'!K9+'3'!K9+'4'!K9+'7'!K9+'8'!K9+'9'!K9+'10'!K9+'11'!K9+'12'!K9+'13'!K9+'15'!K9+'16'!K12+'17'!K9+'18'!K9+'19'!K9+'20'!K9+'22'!K9+'23'!K9+'21'!K9+'24'!K9+'25'!K9+'26'!K9+'27'!K9+'28'!K9+'29'!K9+'30'!K9+'31'!K9+'32'!K9+'33'!K9+'34'!K9+'35'!K9+'36'!K9+'37'!K9+'5'!K9+'14'!K9</f>
        <v>20942128</v>
      </c>
      <c r="I16" s="174">
        <f>'1'!L9+'2'!L14+'6'!L9+'3'!L9+'4'!L9+'7'!L9+'8'!L9+'9'!L9+'10'!L9+'11'!L9+'12'!L9+'13'!L9+'15'!L9+'16'!L12+'17'!L9+'18'!L9+'19'!L9+'20'!L9+'22'!L9+'23'!L9+'21'!L9+'24'!L9+'25'!L9+'26'!L9+'27'!L9+'28'!L9+'29'!L9+'30'!L9+'31'!L9+'32'!L9+'33'!L9+'34'!L9+'35'!L9+'36'!L9+'37'!L9+'5'!L9+'14'!L9</f>
        <v>16842</v>
      </c>
      <c r="J16" s="263">
        <f>'1'!M9+'2'!M14+'6'!M9+'3'!M9+'4'!M9+'7'!M9+'8'!M9+'9'!M9+'10'!M9+'11'!M9+'12'!M9+'13'!M9+'15'!M9+'16'!M12+'17'!M9+'18'!M9+'19'!M9+'20'!M9+'22'!M9+'23'!M9+'21'!M9+'24'!M9+'25'!M9+'26'!M9+'27'!M9+'28'!M9+'29'!M9+'30'!M9+'31'!M9+'32'!M9+'33'!M9+'34'!M9+'35'!M9+'36'!M9+'37'!M9+'5'!M9+'14'!M9</f>
        <v>20958970</v>
      </c>
      <c r="K16" s="76">
        <f t="shared" si="1"/>
        <v>106.93815803236365</v>
      </c>
      <c r="M16" s="51"/>
    </row>
    <row r="17" spans="2:14" ht="15" customHeight="1">
      <c r="B17" s="10"/>
      <c r="C17" s="140">
        <v>611200</v>
      </c>
      <c r="D17" s="739"/>
      <c r="E17" s="20" t="s">
        <v>168</v>
      </c>
      <c r="F17" s="30">
        <f>F18+F19</f>
        <v>3985750</v>
      </c>
      <c r="G17" s="622">
        <f t="shared" ref="G17" si="3">G18+G19</f>
        <v>3985750</v>
      </c>
      <c r="H17" s="157">
        <f t="shared" ref="H17" si="4">H18+H19</f>
        <v>3998148</v>
      </c>
      <c r="I17" s="174">
        <f t="shared" ref="I17:J17" si="5">I18+I19</f>
        <v>7172</v>
      </c>
      <c r="J17" s="263">
        <f t="shared" si="5"/>
        <v>4005320</v>
      </c>
      <c r="K17" s="76">
        <f t="shared" si="1"/>
        <v>100.49099918459513</v>
      </c>
      <c r="M17" s="51"/>
    </row>
    <row r="18" spans="2:14" ht="15" customHeight="1">
      <c r="B18" s="10"/>
      <c r="C18" s="141">
        <v>611200</v>
      </c>
      <c r="D18" s="741"/>
      <c r="E18" s="134" t="s">
        <v>921</v>
      </c>
      <c r="F18" s="135">
        <f>'1'!I10+'2'!I15+'6'!I10+'3'!I10+'4'!I10+'7'!I10+'8'!I10+'9'!I10+'10'!I10+'11'!I10+'12'!I10+'13'!I10+'15'!I10+'16'!I13+'17'!I10+'18'!I10+'19'!I10+'20'!I10+'22'!I10+'23'!I10+'21'!I10+'24'!I10+'25'!I10+'26'!I10+'27'!I10+'28'!I10+'29'!I10+'30'!I10+'31'!I10+'32'!I10+'33'!I10+'34'!I10+'35'!I10+'36'!I10+'37'!I10+'5'!I10+'14'!I10</f>
        <v>3940680</v>
      </c>
      <c r="G18" s="623">
        <f>'1'!J10+'2'!J15+'6'!J10+'3'!J10+'4'!J10+'7'!J10+'8'!J10+'9'!J10+'10'!J10+'11'!J10+'12'!J10+'13'!J10+'15'!J10+'16'!J13+'17'!J10+'18'!J10+'19'!J10+'20'!J10+'22'!J10+'23'!J10+'21'!J10+'24'!J10+'25'!J10+'26'!J10+'27'!J10+'28'!J10+'29'!J10+'30'!J10+'31'!J10+'32'!J10+'33'!J10+'34'!J10+'35'!J10+'36'!J10+'37'!J10+'5'!J10+'14'!J10</f>
        <v>3940680</v>
      </c>
      <c r="H18" s="616">
        <f>'1'!K10+'2'!K15+'6'!K10+'3'!K10+'4'!K10+'7'!K10+'8'!K10+'9'!K10+'10'!K10+'11'!K10+'12'!K10+'13'!K10+'15'!K10+'16'!K13+'17'!K10+'18'!K10+'19'!K10+'20'!K10+'22'!K10+'23'!K10+'21'!K10+'24'!K10+'25'!K10+'26'!K10+'27'!K10+'28'!K10+'29'!K10+'30'!K10+'31'!K10+'32'!K10+'33'!K10+'34'!K10+'35'!K10+'36'!K10+'37'!K10+'5'!K10+'14'!K10</f>
        <v>3948148</v>
      </c>
      <c r="I18" s="181">
        <f>'1'!L10+'2'!L15+'6'!L10+'3'!L10+'4'!L10+'7'!L10+'8'!L10+'9'!L10+'10'!L10+'11'!L10+'12'!L10+'13'!L10+'15'!L10+'16'!L13+'17'!L10+'18'!L10+'19'!L10+'20'!L10+'22'!L10+'23'!L10+'21'!L10+'24'!L10+'25'!L10+'26'!L10+'27'!L10+'28'!L10+'29'!L10+'30'!L10+'31'!L10+'32'!L10+'33'!L10+'34'!L10+'35'!L10+'36'!L10+'37'!L10+'5'!L10+'14'!L10</f>
        <v>7172</v>
      </c>
      <c r="J18" s="285">
        <f>'1'!M10+'2'!M15+'6'!M10+'3'!M10+'4'!M10+'7'!M10+'8'!M10+'9'!M10+'10'!M10+'11'!M10+'12'!M10+'13'!M10+'15'!M10+'16'!M13+'17'!M10+'18'!M10+'19'!M10+'20'!M10+'22'!M10+'23'!M10+'21'!M10+'24'!M10+'25'!M10+'26'!M10+'27'!M10+'28'!M10+'29'!M10+'30'!M10+'31'!M10+'32'!M10+'33'!M10+'34'!M10+'35'!M10+'36'!M10+'37'!M10+'5'!M10+'14'!M10</f>
        <v>3955320</v>
      </c>
      <c r="K18" s="136">
        <f t="shared" si="1"/>
        <v>100.37150948567253</v>
      </c>
      <c r="M18" s="51"/>
    </row>
    <row r="19" spans="2:14" ht="15" customHeight="1">
      <c r="B19" s="10"/>
      <c r="C19" s="141">
        <v>611200</v>
      </c>
      <c r="D19" s="741" t="s">
        <v>511</v>
      </c>
      <c r="E19" s="137" t="s">
        <v>922</v>
      </c>
      <c r="F19" s="135">
        <f>'1'!I11+'2'!I16+'6'!I11+'3'!I11+'4'!I11+'7'!I11+'8'!I11+'9'!I11+'10'!I11+'11'!I11+'12'!I11+'13'!I11+'15'!I11+'16'!I14+'17'!I11+'18'!I11+'19'!I11+'20'!I11+'22'!I11+'23'!I11+'21'!I11+'24'!I11+'25'!I11+'26'!I11+'27'!I11+'28'!I11+'29'!I11+'30'!I11+'31'!I11+'32'!I11+'33'!I11+'34'!I11+'35'!I11+'36'!I11+'37'!I11+'5'!I11+'14'!I11</f>
        <v>45070</v>
      </c>
      <c r="G19" s="623">
        <f>'1'!J11+'2'!J16+'6'!J11+'3'!J11+'4'!J11+'7'!J11+'8'!J11+'9'!J11+'10'!J11+'11'!J11+'12'!J11+'13'!J11+'15'!J11+'16'!J14+'17'!J11+'18'!J11+'19'!J11+'20'!J11+'22'!J11+'23'!J11+'21'!J11+'24'!J11+'25'!J11+'26'!J11+'27'!J11+'28'!J11+'29'!J11+'30'!J11+'31'!J11+'32'!J11+'33'!J11+'34'!J11+'35'!J11+'36'!J11+'37'!J11+'5'!J11+'14'!J11</f>
        <v>45070</v>
      </c>
      <c r="H19" s="616">
        <f>'1'!K11+'2'!K16+'6'!K11+'3'!K11+'4'!K11+'7'!K11+'8'!K11+'9'!K11+'10'!K11+'11'!K11+'12'!K11+'13'!K11+'15'!K11+'16'!K14+'17'!K11+'18'!K11+'19'!K11+'20'!K11+'22'!K11+'23'!K11+'21'!K11+'24'!K11+'25'!K11+'26'!K11+'27'!K11+'28'!K11+'29'!K11+'30'!K11+'31'!K11+'32'!K11+'33'!K11+'34'!K11+'35'!K11+'36'!K11+'37'!K11+'5'!K11+'14'!K11</f>
        <v>50000</v>
      </c>
      <c r="I19" s="181">
        <f>'1'!L11+'2'!L16+'6'!L11+'3'!L11+'4'!L11+'7'!L11+'8'!L11+'9'!L11+'10'!L11+'11'!L11+'12'!L11+'13'!L11+'15'!L11+'16'!L14+'17'!L11+'18'!L11+'19'!L11+'20'!L11+'22'!L11+'23'!L11+'21'!L11+'24'!L11+'25'!L11+'26'!L11+'27'!L11+'28'!L11+'29'!L11+'30'!L11+'31'!L11+'32'!L11+'33'!L11+'34'!L11+'35'!L11+'36'!L11+'37'!L11+'5'!L11+'14'!L11</f>
        <v>0</v>
      </c>
      <c r="J19" s="285">
        <f>'1'!M11+'2'!M16+'6'!M11+'3'!M11+'4'!M11+'7'!M11+'8'!M11+'9'!M11+'10'!M11+'11'!M11+'12'!M11+'13'!M11+'15'!M11+'16'!M14+'17'!M11+'18'!M11+'19'!M11+'20'!M11+'22'!M11+'23'!M11+'21'!M11+'24'!M11+'25'!M11+'26'!M11+'27'!M11+'28'!M11+'29'!M11+'30'!M11+'31'!M11+'32'!M11+'33'!M11+'34'!M11+'35'!M11+'36'!M11+'37'!M11+'5'!M11+'14'!M11</f>
        <v>50000</v>
      </c>
      <c r="K19" s="136">
        <f t="shared" si="1"/>
        <v>110.93854004881297</v>
      </c>
      <c r="M19" s="51"/>
    </row>
    <row r="20" spans="2:14" ht="12.75" customHeight="1">
      <c r="B20" s="10"/>
      <c r="C20" s="140"/>
      <c r="D20" s="739"/>
      <c r="E20" s="11"/>
      <c r="F20" s="46"/>
      <c r="G20" s="624"/>
      <c r="H20" s="158"/>
      <c r="I20" s="164"/>
      <c r="J20" s="263"/>
      <c r="K20" s="76" t="str">
        <f t="shared" si="1"/>
        <v/>
      </c>
      <c r="M20" s="51"/>
    </row>
    <row r="21" spans="2:14" ht="15" customHeight="1">
      <c r="B21" s="10"/>
      <c r="C21" s="291">
        <v>612000</v>
      </c>
      <c r="D21" s="740"/>
      <c r="E21" s="669" t="s">
        <v>140</v>
      </c>
      <c r="F21" s="670">
        <f>SUM(F22:F23)</f>
        <v>2506300</v>
      </c>
      <c r="G21" s="671">
        <f t="shared" ref="G21:J21" si="6">SUM(G22:G23)</f>
        <v>2506300</v>
      </c>
      <c r="H21" s="672">
        <f t="shared" si="6"/>
        <v>2554397</v>
      </c>
      <c r="I21" s="670">
        <f t="shared" si="6"/>
        <v>2273</v>
      </c>
      <c r="J21" s="673">
        <f t="shared" si="6"/>
        <v>2556670</v>
      </c>
      <c r="K21" s="674">
        <f t="shared" si="1"/>
        <v>102.00973546662411</v>
      </c>
      <c r="M21" s="51"/>
      <c r="N21" s="51"/>
    </row>
    <row r="22" spans="2:14" s="1" customFormat="1" ht="15" customHeight="1">
      <c r="B22" s="12"/>
      <c r="C22" s="140">
        <v>612100</v>
      </c>
      <c r="D22" s="739"/>
      <c r="E22" s="85" t="s">
        <v>82</v>
      </c>
      <c r="F22" s="675">
        <f>'1'!I14+'2'!I19+'6'!I14+'3'!I14+'4'!I14+'7'!I14+'8'!I14+'9'!I14+'10'!I14+'11'!I14+'12'!I14+'13'!I14+'15'!I14+'16'!I17+'17'!I14+'18'!I14+'19'!I14+'20'!I14+'22'!I14+'23'!I14+'21'!I14+'24'!I14+'25'!I14+'26'!I14+'27'!I14+'28'!I14+'29'!I14+'30'!I14+'31'!I14+'32'!I14+'33'!I14+'34'!I14+'35'!I14+'36'!I14+'37'!I14+'5'!I14+'14'!I14</f>
        <v>2306300</v>
      </c>
      <c r="G22" s="676">
        <f>'1'!J14+'2'!J19+'6'!J14+'3'!J14+'4'!J14+'7'!J14+'8'!J14+'9'!J14+'10'!J14+'11'!J14+'12'!J14+'13'!J14+'15'!J14+'16'!J17+'17'!J14+'18'!J14+'19'!J14+'20'!J14+'22'!J14+'23'!J14+'21'!J14+'24'!J14+'25'!J14+'26'!J14+'27'!J14+'28'!J14+'29'!J14+'30'!J14+'31'!J14+'32'!J14+'33'!J14+'34'!J14+'35'!J14+'36'!J14+'37'!J14+'5'!J14+'14'!J14</f>
        <v>2306300</v>
      </c>
      <c r="H22" s="677">
        <f>'1'!K14+'2'!K19+'6'!K14+'3'!K14+'4'!K14+'7'!K14+'8'!K14+'9'!K14+'10'!K14+'11'!K14+'12'!K14+'13'!K14+'15'!K14+'16'!K17+'17'!K14+'18'!K14+'19'!K14+'20'!K14+'22'!K14+'23'!K14+'21'!K14+'24'!K14+'25'!K14+'26'!K14+'27'!K14+'28'!K14+'29'!K14+'30'!K14+'31'!K14+'32'!K14+'33'!K14+'34'!K14+'35'!K14+'36'!K14+'37'!K14+'5'!K14+'14'!K14</f>
        <v>2454397</v>
      </c>
      <c r="I22" s="675">
        <f>'1'!L14+'2'!L19+'6'!L14+'3'!L14+'4'!L14+'7'!L14+'8'!L14+'9'!L14+'10'!L14+'11'!L14+'12'!L14+'13'!L14+'15'!L14+'16'!L17+'17'!L14+'18'!L14+'19'!L14+'20'!L14+'22'!L14+'23'!L14+'21'!L14+'24'!L14+'25'!L14+'26'!L14+'27'!L14+'28'!L14+'29'!L14+'30'!L14+'31'!L14+'32'!L14+'33'!L14+'34'!L14+'35'!L14+'36'!L14+'37'!L14+'5'!L14+'14'!L14</f>
        <v>2273</v>
      </c>
      <c r="J22" s="678">
        <f>'1'!M14+'2'!M19+'6'!M14+'3'!M14+'4'!M14+'7'!M14+'8'!M14+'9'!M14+'10'!M14+'11'!M14+'12'!M14+'13'!M14+'15'!M14+'16'!M17+'17'!M14+'18'!M14+'19'!M14+'20'!M14+'22'!M14+'23'!M14+'21'!M14+'24'!M14+'25'!M14+'26'!M14+'27'!M14+'28'!M14+'29'!M14+'30'!M14+'31'!M14+'32'!M14+'33'!M14+'34'!M14+'35'!M14+'36'!M14+'37'!M14+'5'!M14+'14'!M14</f>
        <v>2456670</v>
      </c>
      <c r="K22" s="679">
        <f t="shared" si="1"/>
        <v>106.5199670467849</v>
      </c>
      <c r="M22" s="52"/>
    </row>
    <row r="23" spans="2:14" s="165" customFormat="1" ht="15" customHeight="1">
      <c r="B23" s="171"/>
      <c r="C23" s="140">
        <v>612100</v>
      </c>
      <c r="D23" s="739" t="s">
        <v>923</v>
      </c>
      <c r="E23" s="680" t="s">
        <v>838</v>
      </c>
      <c r="F23" s="675">
        <f>'8'!I15</f>
        <v>200000</v>
      </c>
      <c r="G23" s="676">
        <f>'8'!J15</f>
        <v>200000</v>
      </c>
      <c r="H23" s="677">
        <f>'8'!K15</f>
        <v>100000</v>
      </c>
      <c r="I23" s="675">
        <f>'8'!L15</f>
        <v>0</v>
      </c>
      <c r="J23" s="678">
        <f>'8'!M15</f>
        <v>100000</v>
      </c>
      <c r="K23" s="679">
        <f t="shared" ref="K23" si="7">IF(G23=0,"",J23/G23*100)</f>
        <v>50</v>
      </c>
      <c r="M23" s="52"/>
    </row>
    <row r="24" spans="2:14" ht="11.25" customHeight="1">
      <c r="B24" s="10"/>
      <c r="C24" s="140"/>
      <c r="D24" s="739"/>
      <c r="E24" s="681"/>
      <c r="F24" s="675"/>
      <c r="G24" s="676"/>
      <c r="H24" s="677"/>
      <c r="I24" s="675"/>
      <c r="J24" s="678"/>
      <c r="K24" s="679" t="str">
        <f t="shared" si="1"/>
        <v/>
      </c>
    </row>
    <row r="25" spans="2:14" ht="15" customHeight="1">
      <c r="B25" s="10"/>
      <c r="C25" s="291">
        <v>613000</v>
      </c>
      <c r="D25" s="740"/>
      <c r="E25" s="669" t="s">
        <v>142</v>
      </c>
      <c r="F25" s="670">
        <f>F26+F27+F28+F29+F32+F33+F34+F37+F40</f>
        <v>4373800</v>
      </c>
      <c r="G25" s="671">
        <f t="shared" ref="G25:J25" si="8">G26+G27+G28+G29+G32+G33+G34+G37+G40</f>
        <v>4373800</v>
      </c>
      <c r="H25" s="672">
        <f t="shared" si="8"/>
        <v>4449402</v>
      </c>
      <c r="I25" s="670">
        <f t="shared" si="8"/>
        <v>428858</v>
      </c>
      <c r="J25" s="673">
        <f t="shared" si="8"/>
        <v>4878260</v>
      </c>
      <c r="K25" s="674">
        <f t="shared" si="1"/>
        <v>111.53367780877042</v>
      </c>
      <c r="M25" s="69"/>
      <c r="N25" s="51"/>
    </row>
    <row r="26" spans="2:14" s="1" customFormat="1" ht="15" customHeight="1">
      <c r="B26" s="12"/>
      <c r="C26" s="140">
        <v>613100</v>
      </c>
      <c r="D26" s="739"/>
      <c r="E26" s="80" t="s">
        <v>83</v>
      </c>
      <c r="F26" s="675">
        <f>'1'!I17+'2'!I22+'6'!I17+'3'!I17+'4'!I17+'7'!I17+'8'!I18+'9'!I17+'10'!I17+'11'!I17+'12'!I17+'13'!I17+'15'!I17+'16'!I20+'17'!I17+'18'!I17+'19'!I17+'20'!I17+'22'!I17+'23'!I17+'21'!I17+'24'!I17+'25'!I17+'26'!I17+'27'!I17+'28'!I17+'29'!I17+'30'!I17+'31'!I17+'32'!I17+'33'!I17+'34'!I17+'35'!I17+'36'!I17+'37'!I17+'5'!I17+'14'!I17</f>
        <v>77530</v>
      </c>
      <c r="G26" s="676">
        <f>'1'!J17+'2'!J22+'6'!J17+'3'!J17+'4'!J17+'7'!J17+'8'!J18+'9'!J17+'10'!J17+'11'!J17+'12'!J17+'13'!J17+'15'!J17+'16'!J20+'17'!J17+'18'!J17+'19'!J17+'20'!J17+'22'!J17+'23'!J17+'21'!J17+'24'!J17+'25'!J17+'26'!J17+'27'!J17+'28'!J17+'29'!J17+'30'!J17+'31'!J17+'32'!J17+'33'!J17+'34'!J17+'35'!J17+'36'!J17+'37'!J17+'5'!J17+'14'!J17</f>
        <v>77530</v>
      </c>
      <c r="H26" s="677">
        <f>'1'!K17+'2'!K22+'6'!K17+'3'!K17+'4'!K17+'7'!K17+'8'!K18+'9'!K17+'10'!K17+'11'!K17+'12'!K17+'13'!K17+'15'!K17+'16'!K20+'17'!K17+'18'!K17+'19'!K17+'20'!K17+'22'!K17+'23'!K17+'21'!K17+'24'!K17+'25'!K17+'26'!K17+'27'!K17+'28'!K17+'29'!K17+'30'!K17+'31'!K17+'32'!K17+'33'!K17+'34'!K17+'35'!K17+'36'!K17+'37'!K17+'5'!K17+'14'!K17</f>
        <v>95909</v>
      </c>
      <c r="I26" s="675">
        <f>'1'!L17+'2'!L22+'6'!L17+'3'!L17+'4'!L17+'7'!L17+'8'!L18+'9'!L17+'10'!L17+'11'!L17+'12'!L17+'13'!L17+'15'!L17+'16'!L20+'17'!L17+'18'!L17+'19'!L17+'20'!L17+'22'!L17+'23'!L17+'21'!L17+'24'!L17+'25'!L17+'26'!L17+'27'!L17+'28'!L17+'29'!L17+'30'!L17+'31'!L17+'32'!L17+'33'!L17+'34'!L17+'35'!L17+'36'!L17+'37'!L17+'5'!L17+'14'!L17</f>
        <v>391</v>
      </c>
      <c r="J26" s="678">
        <f>'1'!M17+'2'!M22+'6'!M17+'3'!M17+'4'!M17+'7'!M17+'8'!M18+'9'!M17+'10'!M17+'11'!M17+'12'!M17+'13'!M17+'15'!M17+'16'!M20+'17'!M17+'18'!M17+'19'!M17+'20'!M17+'22'!M17+'23'!M17+'21'!M17+'24'!M17+'25'!M17+'26'!M17+'27'!M17+'28'!M17+'29'!M17+'30'!M17+'31'!M17+'32'!M17+'33'!M17+'34'!M17+'35'!M17+'36'!M17+'37'!M17+'5'!M17+'14'!M17</f>
        <v>96300</v>
      </c>
      <c r="K26" s="679">
        <f t="shared" si="1"/>
        <v>124.20998323229718</v>
      </c>
      <c r="M26" s="52"/>
    </row>
    <row r="27" spans="2:14" ht="15" customHeight="1">
      <c r="B27" s="10"/>
      <c r="C27" s="140">
        <v>613200</v>
      </c>
      <c r="D27" s="739"/>
      <c r="E27" s="80" t="s">
        <v>84</v>
      </c>
      <c r="F27" s="675">
        <f>'1'!I18+'2'!I23+'6'!I18+'3'!I18+'4'!I18+'7'!I18+'8'!I19+'9'!I18+'10'!I18+'11'!I18+'12'!I18+'13'!I18+'15'!I18+'16'!I21+'17'!I18+'18'!I18+'19'!I18+'20'!I18+'22'!I18+'23'!I18+'21'!I18+'24'!I18+'25'!I18+'26'!I18+'27'!I18+'28'!I18+'29'!I18+'30'!I18+'31'!I18+'32'!I18+'33'!I18+'34'!I18+'35'!I18+'36'!I18+'37'!I18+'5'!I18+'14'!I18</f>
        <v>754250</v>
      </c>
      <c r="G27" s="676">
        <f>'1'!J18+'2'!J23+'6'!J18+'3'!J18+'4'!J18+'7'!J18+'8'!J19+'9'!J18+'10'!J18+'11'!J18+'12'!J18+'13'!J18+'15'!J18+'16'!J21+'17'!J18+'18'!J18+'19'!J18+'20'!J18+'22'!J18+'23'!J18+'21'!J18+'24'!J18+'25'!J18+'26'!J18+'27'!J18+'28'!J18+'29'!J18+'30'!J18+'31'!J18+'32'!J18+'33'!J18+'34'!J18+'35'!J18+'36'!J18+'37'!J18+'5'!J18+'14'!J18</f>
        <v>754250</v>
      </c>
      <c r="H27" s="677">
        <f>'1'!K18+'2'!K23+'6'!K18+'3'!K18+'4'!K18+'7'!K18+'8'!K19+'9'!K18+'10'!K18+'11'!K18+'12'!K18+'13'!K18+'15'!K18+'16'!K21+'17'!K18+'18'!K18+'19'!K18+'20'!K18+'22'!K18+'23'!K18+'21'!K18+'24'!K18+'25'!K18+'26'!K18+'27'!K18+'28'!K18+'29'!K18+'30'!K18+'31'!K18+'32'!K18+'33'!K18+'34'!K18+'35'!K18+'36'!K18+'37'!K18+'5'!K18+'14'!K18</f>
        <v>775700</v>
      </c>
      <c r="I27" s="675">
        <f>'1'!L18+'2'!L23+'6'!L18+'3'!L18+'4'!L18+'7'!L18+'8'!L19+'9'!L18+'10'!L18+'11'!L18+'12'!L18+'13'!L18+'15'!L18+'16'!L21+'17'!L18+'18'!L18+'19'!L18+'20'!L18+'22'!L18+'23'!L18+'21'!L18+'24'!L18+'25'!L18+'26'!L18+'27'!L18+'28'!L18+'29'!L18+'30'!L18+'31'!L18+'32'!L18+'33'!L18+'34'!L18+'35'!L18+'36'!L18+'37'!L18+'5'!L18+'14'!L18</f>
        <v>0</v>
      </c>
      <c r="J27" s="678">
        <f>'1'!M18+'2'!M23+'6'!M18+'3'!M18+'4'!M18+'7'!M18+'8'!M19+'9'!M18+'10'!M18+'11'!M18+'12'!M18+'13'!M18+'15'!M18+'16'!M21+'17'!M18+'18'!M18+'19'!M18+'20'!M18+'22'!M18+'23'!M18+'21'!M18+'24'!M18+'25'!M18+'26'!M18+'27'!M18+'28'!M18+'29'!M18+'30'!M18+'31'!M18+'32'!M18+'33'!M18+'34'!M18+'35'!M18+'36'!M18+'37'!M18+'5'!M18+'14'!M18</f>
        <v>775700</v>
      </c>
      <c r="K27" s="679">
        <f t="shared" si="1"/>
        <v>102.84388465362943</v>
      </c>
    </row>
    <row r="28" spans="2:14" ht="15" customHeight="1">
      <c r="B28" s="10"/>
      <c r="C28" s="140">
        <v>613300</v>
      </c>
      <c r="D28" s="196"/>
      <c r="E28" s="681" t="s">
        <v>169</v>
      </c>
      <c r="F28" s="675">
        <f>'1'!I19+'2'!I24+'6'!I19+'3'!I19+'4'!I19+'7'!I19+'8'!I20+'9'!I19+'10'!I19+'11'!I19+'12'!I19+'13'!I19+'15'!I19+'16'!I22+'17'!I19+'18'!I19+'19'!I19+'20'!I19+'22'!I19+'23'!I19+'21'!I19+'24'!I19+'25'!I19+'26'!I19+'27'!I19+'28'!I19+'29'!I19+'30'!I19+'31'!I19+'32'!I19+'33'!I19+'34'!I19+'35'!I19+'36'!I19+'37'!I19+'5'!I19+'14'!I19</f>
        <v>379450</v>
      </c>
      <c r="G28" s="676">
        <f>'1'!J19+'2'!J24+'6'!J19+'3'!J19+'4'!J19+'7'!J19+'8'!J20+'9'!J19+'10'!J19+'11'!J19+'12'!J19+'13'!J19+'15'!J19+'16'!J22+'17'!J19+'18'!J19+'19'!J19+'20'!J19+'22'!J19+'23'!J19+'21'!J19+'24'!J19+'25'!J19+'26'!J19+'27'!J19+'28'!J19+'29'!J19+'30'!J19+'31'!J19+'32'!J19+'33'!J19+'34'!J19+'35'!J19+'36'!J19+'37'!J19+'5'!J19+'14'!J19</f>
        <v>379450</v>
      </c>
      <c r="H28" s="677">
        <f>'1'!K19+'2'!K24+'6'!K19+'3'!K19+'4'!K19+'7'!K19+'8'!K20+'9'!K19+'10'!K19+'11'!K19+'12'!K19+'13'!K19+'15'!K19+'16'!K22+'17'!K19+'18'!K19+'19'!K19+'20'!K19+'22'!K19+'23'!K19+'21'!K19+'24'!K19+'25'!K19+'26'!K19+'27'!K19+'28'!K19+'29'!K19+'30'!K19+'31'!K19+'32'!K19+'33'!K19+'34'!K19+'35'!K19+'36'!K19+'37'!K19+'5'!K19+'14'!K19</f>
        <v>376950</v>
      </c>
      <c r="I28" s="675">
        <f>'1'!L19+'2'!L24+'6'!L19+'3'!L19+'4'!L19+'7'!L19+'8'!L20+'9'!L19+'10'!L19+'11'!L19+'12'!L19+'13'!L19+'15'!L19+'16'!L22+'17'!L19+'18'!L19+'19'!L19+'20'!L19+'22'!L19+'23'!L19+'21'!L19+'24'!L19+'25'!L19+'26'!L19+'27'!L19+'28'!L19+'29'!L19+'30'!L19+'31'!L19+'32'!L19+'33'!L19+'34'!L19+'35'!L19+'36'!L19+'37'!L19+'5'!L19+'14'!L19</f>
        <v>0</v>
      </c>
      <c r="J28" s="678">
        <f>'1'!M19+'2'!M24+'6'!M19+'3'!M19+'4'!M19+'7'!M19+'8'!M20+'9'!M19+'10'!M19+'11'!M19+'12'!M19+'13'!M19+'15'!M19+'16'!M22+'17'!M19+'18'!M19+'19'!M19+'20'!M19+'22'!M19+'23'!M19+'21'!M19+'24'!M19+'25'!M19+'26'!M19+'27'!M19+'28'!M19+'29'!M19+'30'!M19+'31'!M19+'32'!M19+'33'!M19+'34'!M19+'35'!M19+'36'!M19+'37'!M19+'5'!M19+'14'!M19</f>
        <v>376950</v>
      </c>
      <c r="K28" s="679">
        <f t="shared" si="1"/>
        <v>99.34115166688629</v>
      </c>
    </row>
    <row r="29" spans="2:14" s="168" customFormat="1" ht="15" customHeight="1">
      <c r="B29" s="169"/>
      <c r="C29" s="140">
        <v>613400</v>
      </c>
      <c r="D29" s="196"/>
      <c r="E29" s="681" t="s">
        <v>143</v>
      </c>
      <c r="F29" s="675">
        <f>F30+F31</f>
        <v>488730</v>
      </c>
      <c r="G29" s="676">
        <f t="shared" ref="G29:J29" si="9">G30+G31</f>
        <v>488730</v>
      </c>
      <c r="H29" s="677">
        <f t="shared" si="9"/>
        <v>631700</v>
      </c>
      <c r="I29" s="675">
        <f t="shared" si="9"/>
        <v>40000</v>
      </c>
      <c r="J29" s="678">
        <f t="shared" si="9"/>
        <v>671700</v>
      </c>
      <c r="K29" s="679">
        <f t="shared" si="1"/>
        <v>137.43784911914554</v>
      </c>
    </row>
    <row r="30" spans="2:14" ht="14.25" customHeight="1">
      <c r="B30" s="10"/>
      <c r="C30" s="141">
        <v>613400</v>
      </c>
      <c r="D30" s="625"/>
      <c r="E30" s="682" t="s">
        <v>919</v>
      </c>
      <c r="F30" s="632">
        <f>'1'!I20+'2'!I25+'6'!I20+'3'!I20+'4'!I20+'7'!I20+'8'!I21+'9'!I20+'10'!I20+'11'!I20+'12'!I20+'13'!I20+'15'!I20+'16'!I23+'17'!I20+'18'!I20+'19'!I20+'20'!I20+'22'!I20+'23'!I20+'21'!I20+'24'!I20+'25'!I20+'26'!I20+'27'!I20+'28'!I20+'29'!I20+'30'!I20+'31'!I20+'32'!I20+'33'!I20+'34'!I20+'35'!I20+'36'!I20+'37'!I20+'5'!I20+'14'!I20</f>
        <v>488730</v>
      </c>
      <c r="G30" s="633">
        <f>'1'!J20+'2'!J25+'6'!J20+'3'!J20+'4'!J20+'7'!J20+'8'!J21+'9'!J20+'10'!J20+'11'!J20+'12'!J20+'13'!J20+'15'!J20+'16'!J23+'17'!J20+'18'!J20+'19'!J20+'20'!J20+'22'!J20+'23'!J20+'21'!J20+'24'!J20+'25'!J20+'26'!J20+'27'!J20+'28'!J20+'29'!J20+'30'!J20+'31'!J20+'32'!J20+'33'!J20+'34'!J20+'35'!J20+'36'!J20+'37'!J20+'5'!J20+'14'!J20</f>
        <v>488730</v>
      </c>
      <c r="H30" s="634">
        <f>'1'!K20+'2'!K25+'6'!K20+'3'!K20+'4'!K20+'7'!K20+'8'!K21+'9'!K20+'10'!K20+'11'!K20+'12'!K20+'13'!K20+'15'!K20+'16'!K23+'17'!K20+'18'!K20+'19'!K20+'20'!K20+'22'!K20+'23'!K20+'21'!K20+'24'!K20+'25'!K20+'26'!K20+'27'!K20+'28'!K20+'29'!K20+'30'!K20+'31'!K20+'32'!K20+'33'!K20+'34'!K20+'35'!K20+'36'!K20+'37'!K20+'5'!K20+'14'!K20</f>
        <v>488700</v>
      </c>
      <c r="I30" s="632">
        <f>'1'!L20+'2'!L25+'6'!L20+'3'!L20+'4'!L20+'7'!L20+'8'!L21+'9'!L20+'10'!L20+'11'!L20+'12'!L20+'13'!L20+'15'!L20+'16'!L23+'17'!L20+'18'!L20+'19'!L20+'20'!L20+'22'!L20+'23'!L20+'21'!L20+'24'!L20+'25'!L20+'26'!L20+'27'!L20+'28'!L20+'29'!L20+'30'!L20+'31'!L20+'32'!L20+'33'!L20+'34'!L20+'35'!L20+'36'!L20+'37'!L20+'5'!L20+'14'!L20</f>
        <v>40000</v>
      </c>
      <c r="J30" s="635">
        <f>'1'!M20+'2'!M25+'6'!M20+'3'!M20+'4'!M20+'7'!M20+'8'!M21+'9'!M20+'10'!M20+'11'!M20+'12'!M20+'13'!M20+'15'!M20+'16'!M23+'17'!M20+'18'!M20+'19'!M20+'20'!M20+'22'!M20+'23'!M20+'21'!M20+'24'!M20+'25'!M20+'26'!M20+'27'!M20+'28'!M20+'29'!M20+'30'!M20+'31'!M20+'32'!M20+'33'!M20+'34'!M20+'35'!M20+'36'!M20+'37'!M20+'5'!M20+'14'!M20</f>
        <v>528700</v>
      </c>
      <c r="K30" s="636">
        <f t="shared" si="1"/>
        <v>108.17833977860987</v>
      </c>
    </row>
    <row r="31" spans="2:14" s="168" customFormat="1" ht="25.5" customHeight="1">
      <c r="B31" s="169"/>
      <c r="C31" s="626">
        <v>613400</v>
      </c>
      <c r="D31" s="631" t="s">
        <v>924</v>
      </c>
      <c r="E31" s="683" t="s">
        <v>920</v>
      </c>
      <c r="F31" s="632">
        <f>'20'!I21</f>
        <v>0</v>
      </c>
      <c r="G31" s="633">
        <f>'20'!J21</f>
        <v>0</v>
      </c>
      <c r="H31" s="634">
        <f>'20'!K21</f>
        <v>143000</v>
      </c>
      <c r="I31" s="632">
        <f>'20'!L21</f>
        <v>0</v>
      </c>
      <c r="J31" s="635">
        <f>'20'!M21</f>
        <v>143000</v>
      </c>
      <c r="K31" s="636" t="str">
        <f t="shared" ref="K31" si="10">IF(G31=0,"",J31/G31*100)</f>
        <v/>
      </c>
    </row>
    <row r="32" spans="2:14" ht="15" customHeight="1">
      <c r="B32" s="10"/>
      <c r="C32" s="140">
        <v>613500</v>
      </c>
      <c r="D32" s="196"/>
      <c r="E32" s="684" t="s">
        <v>85</v>
      </c>
      <c r="F32" s="685">
        <f>'1'!I21+'2'!I26+'6'!I21+'3'!I21+'4'!I21+'7'!I21+'8'!I22+'9'!I21+'10'!I21+'11'!I21+'12'!I21+'13'!I21+'15'!I21+'16'!I24+'17'!I21+'18'!I21+'19'!I21+'20'!I22+'22'!I21+'23'!I21+'21'!I21+'24'!I21+'25'!I21+'26'!I21+'27'!I21+'28'!I21+'29'!I21+'30'!I21+'31'!I21+'32'!I21+'33'!I21+'34'!I21+'35'!I21+'36'!I21+'37'!I21+'5'!I21+'14'!I21</f>
        <v>196600</v>
      </c>
      <c r="G32" s="686">
        <f>'1'!J21+'2'!J26+'6'!J21+'3'!J21+'4'!J21+'7'!J21+'8'!J22+'9'!J21+'10'!J21+'11'!J21+'12'!J21+'13'!J21+'15'!J21+'16'!J24+'17'!J21+'18'!J21+'19'!J21+'20'!J22+'22'!J21+'23'!J21+'21'!J21+'24'!J21+'25'!J21+'26'!J21+'27'!J21+'28'!J21+'29'!J21+'30'!J21+'31'!J21+'32'!J21+'33'!J21+'34'!J21+'35'!J21+'36'!J21+'37'!J21+'5'!J21+'14'!J21</f>
        <v>196600</v>
      </c>
      <c r="H32" s="687">
        <f>'1'!K21+'2'!K26+'6'!K21+'3'!K21+'4'!K21+'7'!K21+'8'!K22+'9'!K21+'10'!K21+'11'!K21+'12'!K21+'13'!K21+'15'!K21+'16'!K24+'17'!K21+'18'!K21+'19'!K21+'20'!K22+'22'!K21+'23'!K21+'21'!K21+'24'!K21+'25'!K21+'26'!K21+'27'!K21+'28'!K21+'29'!K21+'30'!K21+'31'!K21+'32'!K21+'33'!K21+'34'!K21+'35'!K21+'36'!K21+'37'!K21+'5'!K21+'14'!K21</f>
        <v>224700</v>
      </c>
      <c r="I32" s="685">
        <f>'1'!L21+'2'!L26+'6'!L21+'3'!L21+'4'!L21+'7'!L21+'8'!L22+'9'!L21+'10'!L21+'11'!L21+'12'!L21+'13'!L21+'15'!L21+'16'!L24+'17'!L21+'18'!L21+'19'!L21+'20'!L22+'22'!L21+'23'!L21+'21'!L21+'24'!L21+'25'!L21+'26'!L21+'27'!L21+'28'!L21+'29'!L21+'30'!L21+'31'!L21+'32'!L21+'33'!L21+'34'!L21+'35'!L21+'36'!L21+'37'!L21+'5'!L21+'14'!L21</f>
        <v>0</v>
      </c>
      <c r="J32" s="678">
        <f>'1'!M21+'2'!M26+'6'!M21+'3'!M21+'4'!M21+'7'!M21+'8'!M22+'9'!M21+'10'!M21+'11'!M21+'12'!M21+'13'!M21+'15'!M21+'16'!M24+'17'!M21+'18'!M21+'19'!M21+'20'!M22+'22'!M21+'23'!M21+'21'!M21+'24'!M21+'25'!M21+'26'!M21+'27'!M21+'28'!M21+'29'!M21+'30'!M21+'31'!M21+'32'!M21+'33'!M21+'34'!M21+'35'!M21+'36'!M21+'37'!M21+'5'!M21+'14'!M21</f>
        <v>224700</v>
      </c>
      <c r="K32" s="679">
        <f t="shared" si="1"/>
        <v>114.29298067141404</v>
      </c>
    </row>
    <row r="33" spans="2:13" ht="15" customHeight="1">
      <c r="B33" s="10"/>
      <c r="C33" s="140">
        <v>613600</v>
      </c>
      <c r="D33" s="196"/>
      <c r="E33" s="688" t="s">
        <v>170</v>
      </c>
      <c r="F33" s="685">
        <f>'1'!I22+'2'!I27+'6'!I22+'3'!I22+'4'!I22+'7'!I22+'8'!I23+'9'!I22+'10'!I22+'11'!I22+'12'!I22+'13'!I22+'15'!I22+'16'!I25+'17'!I22+'18'!I22+'19'!I22+'20'!I23+'22'!I22+'23'!I22+'21'!I22+'24'!I22+'25'!I22+'26'!I22+'27'!I22+'28'!I22+'29'!I22+'30'!I22+'31'!I22+'32'!I22+'33'!I22+'34'!I22+'35'!I22+'36'!I22+'37'!I22+'5'!I22+'14'!I22</f>
        <v>32500</v>
      </c>
      <c r="G33" s="686">
        <f>'1'!J22+'2'!J27+'6'!J22+'3'!J22+'4'!J22+'7'!J22+'8'!J23+'9'!J22+'10'!J22+'11'!J22+'12'!J22+'13'!J22+'15'!J22+'16'!J25+'17'!J22+'18'!J22+'19'!J22+'20'!J23+'22'!J22+'23'!J22+'21'!J22+'24'!J22+'25'!J22+'26'!J22+'27'!J22+'28'!J22+'29'!J22+'30'!J22+'31'!J22+'32'!J22+'33'!J22+'34'!J22+'35'!J22+'36'!J22+'37'!J22+'5'!J22+'14'!J22</f>
        <v>32500</v>
      </c>
      <c r="H33" s="687">
        <f>'1'!K22+'2'!K27+'6'!K22+'3'!K22+'4'!K22+'7'!K22+'8'!K23+'9'!K22+'10'!K22+'11'!K22+'12'!K22+'13'!K22+'15'!K22+'16'!K25+'17'!K22+'18'!K22+'19'!K22+'20'!K23+'22'!K22+'23'!K22+'21'!K22+'24'!K22+'25'!K22+'26'!K22+'27'!K22+'28'!K22+'29'!K22+'30'!K22+'31'!K22+'32'!K22+'33'!K22+'34'!K22+'35'!K22+'36'!K22+'37'!K22+'5'!K22+'14'!K22</f>
        <v>33700</v>
      </c>
      <c r="I33" s="685">
        <f>'1'!L22+'2'!L27+'6'!L22+'3'!L22+'4'!L22+'7'!L22+'8'!L23+'9'!L22+'10'!L22+'11'!L22+'12'!L22+'13'!L22+'15'!L22+'16'!L25+'17'!L22+'18'!L22+'19'!L22+'20'!L23+'22'!L22+'23'!L22+'21'!L22+'24'!L22+'25'!L22+'26'!L22+'27'!L22+'28'!L22+'29'!L22+'30'!L22+'31'!L22+'32'!L22+'33'!L22+'34'!L22+'35'!L22+'36'!L22+'37'!L22+'5'!L22+'14'!L22</f>
        <v>0</v>
      </c>
      <c r="J33" s="678">
        <f>'1'!M22+'2'!M27+'6'!M22+'3'!M22+'4'!M22+'7'!M22+'8'!M23+'9'!M22+'10'!M22+'11'!M22+'12'!M22+'13'!M22+'15'!M22+'16'!M25+'17'!M22+'18'!M22+'19'!M22+'20'!M23+'22'!M22+'23'!M22+'21'!M22+'24'!M22+'25'!M22+'26'!M22+'27'!M22+'28'!M22+'29'!M22+'30'!M22+'31'!M22+'32'!M22+'33'!M22+'34'!M22+'35'!M22+'36'!M22+'37'!M22+'5'!M22+'14'!M22</f>
        <v>33700</v>
      </c>
      <c r="K33" s="679">
        <f t="shared" si="1"/>
        <v>103.69230769230768</v>
      </c>
    </row>
    <row r="34" spans="2:13" ht="15" customHeight="1">
      <c r="B34" s="10"/>
      <c r="C34" s="140">
        <v>613700</v>
      </c>
      <c r="D34" s="196"/>
      <c r="E34" s="684" t="s">
        <v>86</v>
      </c>
      <c r="F34" s="685">
        <f>F35+F36</f>
        <v>548880</v>
      </c>
      <c r="G34" s="686">
        <f t="shared" ref="G34:J34" si="11">G35+G36</f>
        <v>548880</v>
      </c>
      <c r="H34" s="687">
        <f t="shared" si="11"/>
        <v>345650</v>
      </c>
      <c r="I34" s="685">
        <f t="shared" si="11"/>
        <v>366000</v>
      </c>
      <c r="J34" s="678">
        <f t="shared" si="11"/>
        <v>711650</v>
      </c>
      <c r="K34" s="679">
        <f t="shared" si="1"/>
        <v>129.65493368313656</v>
      </c>
    </row>
    <row r="35" spans="2:13" ht="15" customHeight="1">
      <c r="B35" s="10"/>
      <c r="C35" s="141">
        <v>613700</v>
      </c>
      <c r="D35" s="197"/>
      <c r="E35" s="689" t="s">
        <v>455</v>
      </c>
      <c r="F35" s="690">
        <f>'1'!I23+'2'!I28+'6'!I23+'3'!I23+'4'!I23+'7'!I23+'8'!I24+'9'!I23+'10'!I23+'11'!I23+'12'!I23+'13'!I23+'15'!I23+'16'!I26+'17'!I23+'18'!I23+'19'!I23+'20'!I24+'22'!I23+'23'!I23+'21'!I23+'24'!I23+'25'!I23+'26'!I23+'27'!I23+'28'!I23+'29'!I23+'30'!I23+'31'!I23+'32'!I23+'33'!I23+'34'!I23+'35'!I23+'36'!I23+'37'!I23+'5'!I23+'14'!I23</f>
        <v>318880</v>
      </c>
      <c r="G35" s="691">
        <f>'1'!J23+'2'!J28+'6'!J23+'3'!J23+'4'!J23+'7'!J23+'8'!J24+'9'!J23+'10'!J23+'11'!J23+'12'!J23+'13'!J23+'15'!J23+'16'!J26+'17'!J23+'18'!J23+'19'!J23+'20'!J24+'22'!J23+'23'!J23+'21'!J23+'24'!J23+'25'!J23+'26'!J23+'27'!J23+'28'!J23+'29'!J23+'30'!J23+'31'!J23+'32'!J23+'33'!J23+'34'!J23+'35'!J23+'36'!J23+'37'!J23+'5'!J23+'14'!J23</f>
        <v>318880</v>
      </c>
      <c r="H35" s="692">
        <f>'1'!K23+'2'!K28+'6'!K23+'3'!K23+'4'!K23+'7'!K23+'8'!K24+'9'!K23+'10'!K23+'11'!K23+'12'!K23+'13'!K23+'15'!K23+'16'!K26+'17'!K23+'18'!K23+'19'!K23+'20'!K24+'22'!K23+'23'!K23+'21'!K23+'24'!K23+'25'!K23+'26'!K23+'27'!K23+'28'!K23+'29'!K23+'30'!K23+'31'!K23+'32'!K23+'33'!K23+'34'!K23+'35'!K23+'36'!K23+'37'!K23+'5'!K23+'14'!K23</f>
        <v>345650</v>
      </c>
      <c r="I35" s="690">
        <f>'1'!L23+'2'!L28+'6'!L23+'3'!L23+'4'!L23+'7'!L23+'8'!L24+'9'!L23+'10'!L23+'11'!L23+'12'!L23+'13'!L23+'15'!L23+'16'!L26+'17'!L23+'18'!L23+'19'!L23+'20'!L24+'22'!L23+'23'!L23+'21'!L23+'24'!L23+'25'!L23+'26'!L23+'27'!L23+'28'!L23+'29'!L23+'30'!L23+'31'!L23+'32'!L23+'33'!L23+'34'!L23+'35'!L23+'36'!L23+'37'!L23+'5'!L23+'14'!L23</f>
        <v>16000</v>
      </c>
      <c r="J35" s="638">
        <f>'1'!M23+'2'!M28+'6'!M23+'3'!M23+'4'!M23+'7'!M23+'8'!M24+'9'!M23+'10'!M23+'11'!M23+'12'!M23+'13'!M23+'15'!M23+'16'!M26+'17'!M23+'18'!M23+'19'!M23+'20'!M24+'22'!M23+'23'!M23+'21'!M23+'24'!M23+'25'!M23+'26'!M23+'27'!M23+'28'!M23+'29'!M23+'30'!M23+'31'!M23+'32'!M23+'33'!M23+'34'!M23+'35'!M23+'36'!M23+'37'!M23+'5'!M23+'14'!M23</f>
        <v>361650</v>
      </c>
      <c r="K35" s="636">
        <f t="shared" si="1"/>
        <v>113.41256899147014</v>
      </c>
    </row>
    <row r="36" spans="2:13" ht="15" customHeight="1">
      <c r="B36" s="10"/>
      <c r="C36" s="141">
        <v>613700</v>
      </c>
      <c r="D36" s="197" t="s">
        <v>527</v>
      </c>
      <c r="E36" s="689" t="s">
        <v>456</v>
      </c>
      <c r="F36" s="690">
        <f>'18'!I24</f>
        <v>230000</v>
      </c>
      <c r="G36" s="691">
        <f>'18'!J24</f>
        <v>230000</v>
      </c>
      <c r="H36" s="692">
        <f>'18'!K24</f>
        <v>0</v>
      </c>
      <c r="I36" s="690">
        <f>'18'!L24</f>
        <v>350000</v>
      </c>
      <c r="J36" s="638">
        <f>'18'!M24</f>
        <v>350000</v>
      </c>
      <c r="K36" s="636">
        <f t="shared" si="1"/>
        <v>152.17391304347828</v>
      </c>
    </row>
    <row r="37" spans="2:13" ht="15" customHeight="1">
      <c r="B37" s="10"/>
      <c r="C37" s="140">
        <v>613800</v>
      </c>
      <c r="D37" s="196"/>
      <c r="E37" s="688" t="s">
        <v>144</v>
      </c>
      <c r="F37" s="685">
        <f>F38+F39</f>
        <v>60210</v>
      </c>
      <c r="G37" s="686">
        <f t="shared" ref="G37:J37" si="12">G38+G39</f>
        <v>60210</v>
      </c>
      <c r="H37" s="687">
        <f t="shared" si="12"/>
        <v>97740</v>
      </c>
      <c r="I37" s="685">
        <f t="shared" si="12"/>
        <v>4000</v>
      </c>
      <c r="J37" s="678">
        <f t="shared" si="12"/>
        <v>101740</v>
      </c>
      <c r="K37" s="679">
        <f t="shared" si="1"/>
        <v>168.97525328018602</v>
      </c>
    </row>
    <row r="38" spans="2:13" ht="15" customHeight="1">
      <c r="B38" s="10"/>
      <c r="C38" s="141">
        <v>613800</v>
      </c>
      <c r="D38" s="197"/>
      <c r="E38" s="689" t="s">
        <v>457</v>
      </c>
      <c r="F38" s="690">
        <f>'1'!I24+'2'!I29+'6'!I24+'3'!I24+'4'!I24+'7'!I24+'8'!I25+'9'!I24+'10'!I24+'11'!I24+'12'!I24+'13'!I24+'15'!I24+'16'!I27+'17'!I24+'18'!I25+'19'!I24+'20'!I25+'22'!I24+'23'!I24+'21'!I24+'24'!I24+'25'!I24+'26'!I24+'27'!I24+'28'!I24+'29'!I24+'30'!I24+'31'!I24+'32'!I24+'33'!I24+'34'!I24+'35'!I24+'36'!I24+'37'!I24+'5'!I24+'14'!I24</f>
        <v>60210</v>
      </c>
      <c r="G38" s="691">
        <f>'1'!J24+'2'!J29+'6'!J24+'3'!J24+'4'!J24+'7'!J24+'8'!J25+'9'!J24+'10'!J24+'11'!J24+'12'!J24+'13'!J24+'15'!J24+'16'!J27+'17'!J24+'18'!J25+'19'!J24+'20'!J25+'22'!J24+'23'!J24+'21'!J24+'24'!J24+'25'!J24+'26'!J24+'27'!J24+'28'!J24+'29'!J24+'30'!J24+'31'!J24+'32'!J24+'33'!J24+'34'!J24+'35'!J24+'36'!J24+'37'!J24+'5'!J24+'14'!J24</f>
        <v>60210</v>
      </c>
      <c r="H38" s="692">
        <f>'1'!K24+'2'!K29+'6'!K24+'3'!K24+'4'!K24+'7'!K24+'8'!K25+'9'!K24+'10'!K24+'11'!K24+'12'!K24+'13'!K24+'15'!K24+'16'!K27+'17'!K24+'18'!K25+'19'!K24+'20'!K25+'22'!K24+'23'!K24+'21'!K24+'24'!K24+'25'!K24+'26'!K24+'27'!K24+'28'!K24+'29'!K24+'30'!K24+'31'!K24+'32'!K24+'33'!K24+'34'!K24+'35'!K24+'36'!K24+'37'!K24+'5'!K24+'14'!K24</f>
        <v>97740</v>
      </c>
      <c r="I38" s="690">
        <f>'1'!L24+'2'!L29+'6'!L24+'3'!L24+'4'!L24+'7'!L24+'8'!L25+'9'!L24+'10'!L24+'11'!L24+'12'!L24+'13'!L24+'15'!L24+'16'!L27+'17'!L24+'18'!L25+'19'!L24+'20'!L25+'22'!L24+'23'!L24+'21'!L24+'24'!L24+'25'!L24+'26'!L24+'27'!L24+'28'!L24+'29'!L24+'30'!L24+'31'!L24+'32'!L24+'33'!L24+'34'!L24+'35'!L24+'36'!L24+'37'!L24+'5'!L24+'14'!L24</f>
        <v>4000</v>
      </c>
      <c r="J38" s="638">
        <f>'1'!M24+'2'!M29+'6'!M24+'3'!M24+'4'!M24+'7'!M24+'8'!M25+'9'!M24+'10'!M24+'11'!M24+'12'!M24+'13'!M24+'15'!M24+'16'!M27+'17'!M24+'18'!M25+'19'!M24+'20'!M25+'22'!M24+'23'!M24+'21'!M24+'24'!M24+'25'!M24+'26'!M24+'27'!M24+'28'!M24+'29'!M24+'30'!M24+'31'!M24+'32'!M24+'33'!M24+'34'!M24+'35'!M24+'36'!M24+'37'!M24+'5'!M24+'14'!M24</f>
        <v>101740</v>
      </c>
      <c r="K38" s="636">
        <f t="shared" si="1"/>
        <v>168.97525328018602</v>
      </c>
    </row>
    <row r="39" spans="2:13" ht="15" customHeight="1">
      <c r="B39" s="10"/>
      <c r="C39" s="141">
        <v>613800</v>
      </c>
      <c r="D39" s="197"/>
      <c r="E39" s="682" t="s">
        <v>458</v>
      </c>
      <c r="F39" s="632">
        <f>'20'!I26</f>
        <v>0</v>
      </c>
      <c r="G39" s="633">
        <f>'20'!J26</f>
        <v>0</v>
      </c>
      <c r="H39" s="634">
        <f>'20'!K26</f>
        <v>0</v>
      </c>
      <c r="I39" s="632">
        <f>'20'!L26</f>
        <v>0</v>
      </c>
      <c r="J39" s="638">
        <f>'20'!M26</f>
        <v>0</v>
      </c>
      <c r="K39" s="636" t="str">
        <f t="shared" si="1"/>
        <v/>
      </c>
    </row>
    <row r="40" spans="2:13" ht="15" customHeight="1">
      <c r="B40" s="10"/>
      <c r="C40" s="142">
        <v>613900</v>
      </c>
      <c r="D40" s="198"/>
      <c r="E40" s="688" t="s">
        <v>145</v>
      </c>
      <c r="F40" s="693">
        <f t="shared" ref="F40:J40" si="13">SUM(F41:F48)</f>
        <v>1835650</v>
      </c>
      <c r="G40" s="694">
        <f t="shared" si="13"/>
        <v>1835650</v>
      </c>
      <c r="H40" s="695">
        <f t="shared" si="13"/>
        <v>1867353</v>
      </c>
      <c r="I40" s="693">
        <f t="shared" si="13"/>
        <v>18467</v>
      </c>
      <c r="J40" s="696">
        <f t="shared" si="13"/>
        <v>1885820</v>
      </c>
      <c r="K40" s="679">
        <f t="shared" si="1"/>
        <v>102.73309182033611</v>
      </c>
    </row>
    <row r="41" spans="2:13" ht="15" customHeight="1">
      <c r="B41" s="10"/>
      <c r="C41" s="143">
        <v>613900</v>
      </c>
      <c r="D41" s="199"/>
      <c r="E41" s="689" t="s">
        <v>459</v>
      </c>
      <c r="F41" s="697">
        <f>'1'!I25+'2'!I30+'6'!I25+'3'!I25+'4'!I25+'7'!I25+'8'!I26+'9'!I25+'10'!I25+'11'!I25+'12'!I25+'13'!I25+'15'!I25+'16'!I28+'17'!I25+'18'!I26+'19'!I25+'20'!I27+'22'!I25+'23'!I25+'21'!I25+'24'!I25+'25'!I25+'26'!I25+'27'!I25+'28'!I25+'29'!I25+'30'!I25+'31'!I25+'32'!I25+'33'!I25+'34'!I25+'35'!I25+'36'!I25+'37'!I25+'5'!I25+'14'!I25</f>
        <v>1245320</v>
      </c>
      <c r="G41" s="698">
        <f>'1'!J25+'2'!J30+'6'!J25+'3'!J25+'4'!J25+'7'!J25+'8'!J26+'9'!J25+'10'!J25+'11'!J25+'12'!J25+'13'!J25+'15'!J25+'16'!J28+'17'!J25+'18'!J26+'19'!J25+'20'!J27+'22'!J25+'23'!J25+'21'!J25+'24'!J25+'25'!J25+'26'!J25+'27'!J25+'28'!J25+'29'!J25+'30'!J25+'31'!J25+'32'!J25+'33'!J25+'34'!J25+'35'!J25+'36'!J25+'37'!J25+'5'!J25+'14'!J25</f>
        <v>1245320</v>
      </c>
      <c r="H41" s="699">
        <f>'1'!K25+'2'!K30+'6'!K25+'3'!K25+'4'!K25+'7'!K25+'8'!K26+'9'!K25+'10'!K25+'11'!K25+'12'!K25+'13'!K25+'15'!K25+'16'!K28+'17'!K25+'18'!K26+'19'!K25+'20'!K27+'22'!K25+'23'!K25+'21'!K25+'24'!K25+'25'!K25+'26'!K25+'27'!K25+'28'!K25+'29'!K25+'30'!K25+'31'!K25+'32'!K25+'33'!K25+'34'!K25+'35'!K25+'36'!K25+'37'!K25+'5'!K25+'14'!K25</f>
        <v>1310208</v>
      </c>
      <c r="I41" s="697">
        <f>'1'!L25+'2'!L30+'6'!L25+'3'!L25+'4'!L25+'7'!L25+'8'!L26+'9'!L25+'10'!L25+'11'!L25+'12'!L25+'13'!L25+'15'!L25+'16'!L28+'17'!L25+'18'!L26+'19'!L25+'20'!L27+'22'!L25+'23'!L25+'21'!L25+'24'!L25+'25'!L25+'26'!L25+'27'!L25+'28'!L25+'29'!L25+'30'!L25+'31'!L25+'32'!L25+'33'!L25+'34'!L25+'35'!L25+'36'!L25+'37'!L25+'5'!L25+'14'!L25</f>
        <v>13602</v>
      </c>
      <c r="J41" s="700">
        <f>'1'!M25+'2'!M30+'6'!M25+'3'!M25+'4'!M25+'7'!M25+'8'!M26+'9'!M25+'10'!M25+'11'!M25+'12'!M25+'13'!M25+'15'!M25+'16'!M28+'17'!M25+'18'!M26+'19'!M25+'20'!M27+'22'!M25+'23'!M25+'21'!M25+'24'!M25+'25'!M25+'26'!M25+'27'!M25+'28'!M25+'29'!M25+'30'!M25+'31'!M25+'32'!M25+'33'!M25+'34'!M25+'35'!M25+'36'!M25+'37'!M25+'5'!M25+'14'!M25</f>
        <v>1323810</v>
      </c>
      <c r="K41" s="636">
        <f t="shared" si="1"/>
        <v>106.30279767449331</v>
      </c>
    </row>
    <row r="42" spans="2:13" s="168" customFormat="1" ht="15" customHeight="1">
      <c r="B42" s="169"/>
      <c r="C42" s="141">
        <v>613900</v>
      </c>
      <c r="D42" s="199" t="s">
        <v>745</v>
      </c>
      <c r="E42" s="689" t="s">
        <v>744</v>
      </c>
      <c r="F42" s="632">
        <f>'9'!I26</f>
        <v>46000</v>
      </c>
      <c r="G42" s="633">
        <f>'9'!J26</f>
        <v>46000</v>
      </c>
      <c r="H42" s="634">
        <f>'9'!K26</f>
        <v>42500</v>
      </c>
      <c r="I42" s="632">
        <f>'9'!L26</f>
        <v>0</v>
      </c>
      <c r="J42" s="638">
        <f>'9'!M26</f>
        <v>42500</v>
      </c>
      <c r="K42" s="636">
        <f t="shared" si="1"/>
        <v>92.391304347826093</v>
      </c>
    </row>
    <row r="43" spans="2:13" s="491" customFormat="1" ht="15" customHeight="1">
      <c r="B43" s="492"/>
      <c r="C43" s="504">
        <v>613900</v>
      </c>
      <c r="D43" s="505" t="s">
        <v>755</v>
      </c>
      <c r="E43" s="701" t="s">
        <v>761</v>
      </c>
      <c r="F43" s="702">
        <f>'9'!I27</f>
        <v>45000</v>
      </c>
      <c r="G43" s="703">
        <f>'9'!J27</f>
        <v>45000</v>
      </c>
      <c r="H43" s="704">
        <f>'9'!K27</f>
        <v>45000</v>
      </c>
      <c r="I43" s="702">
        <f>'9'!L27</f>
        <v>0</v>
      </c>
      <c r="J43" s="705">
        <f>'9'!M27</f>
        <v>45000</v>
      </c>
      <c r="K43" s="706">
        <f t="shared" si="1"/>
        <v>100</v>
      </c>
      <c r="M43" s="506"/>
    </row>
    <row r="44" spans="2:13" ht="15" customHeight="1">
      <c r="B44" s="10"/>
      <c r="C44" s="141">
        <v>613900</v>
      </c>
      <c r="D44" s="197" t="s">
        <v>521</v>
      </c>
      <c r="E44" s="682" t="s">
        <v>460</v>
      </c>
      <c r="F44" s="632">
        <f>'16'!I29</f>
        <v>265000</v>
      </c>
      <c r="G44" s="633">
        <f>'16'!J29</f>
        <v>265000</v>
      </c>
      <c r="H44" s="634">
        <f>'16'!K29</f>
        <v>229210</v>
      </c>
      <c r="I44" s="632">
        <f>'16'!L29</f>
        <v>0</v>
      </c>
      <c r="J44" s="638">
        <f>'16'!M29</f>
        <v>229210</v>
      </c>
      <c r="K44" s="636">
        <f t="shared" ref="K44:K72" si="14">IF(G44=0,"",J44/G44*100)</f>
        <v>86.494339622641519</v>
      </c>
    </row>
    <row r="45" spans="2:13" ht="15" customHeight="1">
      <c r="B45" s="10"/>
      <c r="C45" s="141">
        <v>613900</v>
      </c>
      <c r="D45" s="197" t="s">
        <v>533</v>
      </c>
      <c r="E45" s="682" t="s">
        <v>461</v>
      </c>
      <c r="F45" s="632">
        <f>'20'!I28</f>
        <v>52000</v>
      </c>
      <c r="G45" s="633">
        <f>'20'!J28</f>
        <v>52000</v>
      </c>
      <c r="H45" s="634">
        <f>'20'!K28</f>
        <v>55000</v>
      </c>
      <c r="I45" s="632">
        <f>'20'!L28</f>
        <v>0</v>
      </c>
      <c r="J45" s="638">
        <f>'20'!M28</f>
        <v>55000</v>
      </c>
      <c r="K45" s="636">
        <f t="shared" si="14"/>
        <v>105.76923076923077</v>
      </c>
    </row>
    <row r="46" spans="2:13" s="168" customFormat="1" ht="15" customHeight="1">
      <c r="B46" s="169"/>
      <c r="C46" s="141">
        <v>613900</v>
      </c>
      <c r="D46" s="197" t="s">
        <v>511</v>
      </c>
      <c r="E46" s="689" t="s">
        <v>914</v>
      </c>
      <c r="F46" s="632">
        <f>'2'!I31</f>
        <v>47650</v>
      </c>
      <c r="G46" s="633">
        <f>'2'!J31</f>
        <v>47650</v>
      </c>
      <c r="H46" s="634">
        <f>'2'!K31</f>
        <v>73200</v>
      </c>
      <c r="I46" s="632">
        <f>'2'!L31</f>
        <v>0</v>
      </c>
      <c r="J46" s="638">
        <f>'2'!M31</f>
        <v>73200</v>
      </c>
      <c r="K46" s="636">
        <f t="shared" si="14"/>
        <v>153.62014690451207</v>
      </c>
    </row>
    <row r="47" spans="2:13" ht="15" customHeight="1">
      <c r="B47" s="10"/>
      <c r="C47" s="141">
        <v>613900</v>
      </c>
      <c r="D47" s="197" t="s">
        <v>785</v>
      </c>
      <c r="E47" s="689" t="s">
        <v>765</v>
      </c>
      <c r="F47" s="632">
        <f>'2'!I32</f>
        <v>97060</v>
      </c>
      <c r="G47" s="633">
        <f>'2'!J32</f>
        <v>97060</v>
      </c>
      <c r="H47" s="634">
        <f>'2'!K32</f>
        <v>87000</v>
      </c>
      <c r="I47" s="632">
        <f>'2'!L32</f>
        <v>0</v>
      </c>
      <c r="J47" s="638">
        <f>'2'!M32</f>
        <v>87000</v>
      </c>
      <c r="K47" s="636">
        <f t="shared" si="14"/>
        <v>89.63527714815578</v>
      </c>
    </row>
    <row r="48" spans="2:13" ht="15" customHeight="1">
      <c r="B48" s="10"/>
      <c r="C48" s="141">
        <v>613900</v>
      </c>
      <c r="D48" s="197" t="s">
        <v>519</v>
      </c>
      <c r="E48" s="682" t="s">
        <v>462</v>
      </c>
      <c r="F48" s="632">
        <f>'15'!I27</f>
        <v>37620</v>
      </c>
      <c r="G48" s="633">
        <f>'15'!J27</f>
        <v>37620</v>
      </c>
      <c r="H48" s="634">
        <f>'15'!K27</f>
        <v>25235</v>
      </c>
      <c r="I48" s="632">
        <f>'15'!L27</f>
        <v>4865</v>
      </c>
      <c r="J48" s="638">
        <f>'15'!M27</f>
        <v>30100</v>
      </c>
      <c r="K48" s="636">
        <f t="shared" si="14"/>
        <v>80.01063264221159</v>
      </c>
    </row>
    <row r="49" spans="2:13" ht="11.25" customHeight="1">
      <c r="B49" s="10"/>
      <c r="C49" s="140"/>
      <c r="D49" s="196"/>
      <c r="E49" s="80"/>
      <c r="F49" s="707"/>
      <c r="G49" s="708"/>
      <c r="H49" s="709"/>
      <c r="I49" s="707"/>
      <c r="J49" s="678"/>
      <c r="K49" s="679" t="str">
        <f t="shared" si="14"/>
        <v/>
      </c>
    </row>
    <row r="50" spans="2:13" ht="15" customHeight="1">
      <c r="B50" s="10"/>
      <c r="C50" s="291">
        <v>614000</v>
      </c>
      <c r="D50" s="292"/>
      <c r="E50" s="669" t="s">
        <v>171</v>
      </c>
      <c r="F50" s="670">
        <f>F51+F60+F69+F81+F86</f>
        <v>12716000</v>
      </c>
      <c r="G50" s="671">
        <f>G51+G60+G69+G81+G86</f>
        <v>12716000</v>
      </c>
      <c r="H50" s="672">
        <f>H51+H60+H69+H81+H86</f>
        <v>9417000</v>
      </c>
      <c r="I50" s="670">
        <f>I51+I60+I69+I81+I86</f>
        <v>2971000</v>
      </c>
      <c r="J50" s="673">
        <f>J51+J60+J69+J81+J86</f>
        <v>12388000</v>
      </c>
      <c r="K50" s="674">
        <f t="shared" si="14"/>
        <v>97.420572507077694</v>
      </c>
      <c r="M50" s="69"/>
    </row>
    <row r="51" spans="2:13" s="45" customFormat="1" ht="15" customHeight="1">
      <c r="B51" s="144"/>
      <c r="C51" s="640">
        <v>614100</v>
      </c>
      <c r="D51" s="641"/>
      <c r="E51" s="681" t="s">
        <v>475</v>
      </c>
      <c r="F51" s="710">
        <f t="shared" ref="F51:J51" si="15">SUM(F52:F59)</f>
        <v>3472000</v>
      </c>
      <c r="G51" s="711">
        <f t="shared" si="15"/>
        <v>3472000</v>
      </c>
      <c r="H51" s="712">
        <f t="shared" si="15"/>
        <v>1355000</v>
      </c>
      <c r="I51" s="710">
        <f t="shared" si="15"/>
        <v>1380000</v>
      </c>
      <c r="J51" s="678">
        <f t="shared" si="15"/>
        <v>2735000</v>
      </c>
      <c r="K51" s="679">
        <f t="shared" si="14"/>
        <v>78.773041474654377</v>
      </c>
      <c r="M51" s="53"/>
    </row>
    <row r="52" spans="2:13" s="54" customFormat="1" ht="15" customHeight="1">
      <c r="B52" s="55"/>
      <c r="C52" s="626">
        <v>614100</v>
      </c>
      <c r="D52" s="642" t="s">
        <v>512</v>
      </c>
      <c r="E52" s="689" t="s">
        <v>463</v>
      </c>
      <c r="F52" s="690">
        <f>'2'!I35</f>
        <v>300000</v>
      </c>
      <c r="G52" s="691">
        <f>'2'!J35</f>
        <v>300000</v>
      </c>
      <c r="H52" s="692">
        <f>'2'!K35</f>
        <v>300000</v>
      </c>
      <c r="I52" s="690">
        <f>'2'!L35</f>
        <v>0</v>
      </c>
      <c r="J52" s="638">
        <f>'2'!M35</f>
        <v>300000</v>
      </c>
      <c r="K52" s="636">
        <f t="shared" si="14"/>
        <v>100</v>
      </c>
    </row>
    <row r="53" spans="2:13" s="165" customFormat="1" ht="15" customHeight="1">
      <c r="B53" s="171"/>
      <c r="C53" s="626">
        <v>614100</v>
      </c>
      <c r="D53" s="643" t="s">
        <v>632</v>
      </c>
      <c r="E53" s="713" t="s">
        <v>465</v>
      </c>
      <c r="F53" s="632">
        <f>'15'!I30</f>
        <v>0</v>
      </c>
      <c r="G53" s="633">
        <f>'15'!J30</f>
        <v>0</v>
      </c>
      <c r="H53" s="634">
        <f>'15'!K30</f>
        <v>50000</v>
      </c>
      <c r="I53" s="632">
        <f>'15'!L30</f>
        <v>0</v>
      </c>
      <c r="J53" s="638">
        <f>'15'!M30</f>
        <v>50000</v>
      </c>
      <c r="K53" s="636" t="str">
        <f t="shared" si="14"/>
        <v/>
      </c>
    </row>
    <row r="54" spans="2:13" s="1" customFormat="1" ht="15" customHeight="1">
      <c r="B54" s="12"/>
      <c r="C54" s="626">
        <v>614100</v>
      </c>
      <c r="D54" s="642" t="s">
        <v>522</v>
      </c>
      <c r="E54" s="714" t="s">
        <v>874</v>
      </c>
      <c r="F54" s="632">
        <f>'16'!I33</f>
        <v>900000</v>
      </c>
      <c r="G54" s="633">
        <f>'16'!J33</f>
        <v>900000</v>
      </c>
      <c r="H54" s="634">
        <f>'16'!K33</f>
        <v>500000</v>
      </c>
      <c r="I54" s="632">
        <f>'16'!L33</f>
        <v>0</v>
      </c>
      <c r="J54" s="638">
        <f>'16'!M33</f>
        <v>500000</v>
      </c>
      <c r="K54" s="636">
        <f t="shared" si="14"/>
        <v>55.555555555555557</v>
      </c>
    </row>
    <row r="55" spans="2:13" s="1" customFormat="1" ht="15" customHeight="1">
      <c r="B55" s="12"/>
      <c r="C55" s="637">
        <v>614100</v>
      </c>
      <c r="D55" s="644"/>
      <c r="E55" s="689" t="s">
        <v>880</v>
      </c>
      <c r="F55" s="632">
        <f>'17'!I29</f>
        <v>1400000</v>
      </c>
      <c r="G55" s="633">
        <f>'17'!J29</f>
        <v>1400000</v>
      </c>
      <c r="H55" s="634">
        <f>'17'!K29</f>
        <v>0</v>
      </c>
      <c r="I55" s="632">
        <f>'17'!L29</f>
        <v>1000000</v>
      </c>
      <c r="J55" s="638">
        <f>'17'!M29</f>
        <v>1000000</v>
      </c>
      <c r="K55" s="636">
        <f t="shared" si="14"/>
        <v>71.428571428571431</v>
      </c>
    </row>
    <row r="56" spans="2:13" s="1" customFormat="1" ht="15" customHeight="1">
      <c r="B56" s="12"/>
      <c r="C56" s="626">
        <v>614100</v>
      </c>
      <c r="D56" s="645" t="s">
        <v>528</v>
      </c>
      <c r="E56" s="713" t="s">
        <v>464</v>
      </c>
      <c r="F56" s="632">
        <f>'18'!I30</f>
        <v>300000</v>
      </c>
      <c r="G56" s="633">
        <f>'18'!J30</f>
        <v>300000</v>
      </c>
      <c r="H56" s="634">
        <f>'18'!K30</f>
        <v>0</v>
      </c>
      <c r="I56" s="632">
        <f>'18'!L30</f>
        <v>280000</v>
      </c>
      <c r="J56" s="638">
        <f>'18'!M30</f>
        <v>280000</v>
      </c>
      <c r="K56" s="636">
        <f t="shared" si="14"/>
        <v>93.333333333333329</v>
      </c>
    </row>
    <row r="57" spans="2:13" s="1" customFormat="1" ht="15" customHeight="1">
      <c r="B57" s="12"/>
      <c r="C57" s="626">
        <v>614100</v>
      </c>
      <c r="D57" s="642" t="s">
        <v>530</v>
      </c>
      <c r="E57" s="689" t="s">
        <v>886</v>
      </c>
      <c r="F57" s="632">
        <f>'19'!I29</f>
        <v>100000</v>
      </c>
      <c r="G57" s="633">
        <f>'19'!J29</f>
        <v>100000</v>
      </c>
      <c r="H57" s="634">
        <f>'19'!K29</f>
        <v>0</v>
      </c>
      <c r="I57" s="632">
        <f>'19'!L29</f>
        <v>100000</v>
      </c>
      <c r="J57" s="638">
        <f>'19'!M29</f>
        <v>100000</v>
      </c>
      <c r="K57" s="636">
        <f t="shared" si="14"/>
        <v>100</v>
      </c>
    </row>
    <row r="58" spans="2:13" s="1" customFormat="1" ht="18.75" customHeight="1">
      <c r="B58" s="12"/>
      <c r="C58" s="637">
        <v>614100</v>
      </c>
      <c r="D58" s="644" t="s">
        <v>534</v>
      </c>
      <c r="E58" s="605" t="s">
        <v>864</v>
      </c>
      <c r="F58" s="632">
        <f>'20'!I32</f>
        <v>132000</v>
      </c>
      <c r="G58" s="633">
        <f>'20'!J32</f>
        <v>132000</v>
      </c>
      <c r="H58" s="634">
        <f>'20'!K32</f>
        <v>165000</v>
      </c>
      <c r="I58" s="632">
        <f>'20'!L32</f>
        <v>0</v>
      </c>
      <c r="J58" s="638">
        <f>'20'!M32</f>
        <v>165000</v>
      </c>
      <c r="K58" s="636">
        <f t="shared" si="14"/>
        <v>125</v>
      </c>
    </row>
    <row r="59" spans="2:13" s="1" customFormat="1" ht="15" customHeight="1">
      <c r="B59" s="12"/>
      <c r="C59" s="646" t="s">
        <v>101</v>
      </c>
      <c r="D59" s="639" t="s">
        <v>535</v>
      </c>
      <c r="E59" s="714" t="s">
        <v>881</v>
      </c>
      <c r="F59" s="690">
        <f>'20'!I33</f>
        <v>340000</v>
      </c>
      <c r="G59" s="691">
        <f>'20'!J33</f>
        <v>340000</v>
      </c>
      <c r="H59" s="692">
        <f>'20'!K33</f>
        <v>340000</v>
      </c>
      <c r="I59" s="690">
        <f>'20'!L33</f>
        <v>0</v>
      </c>
      <c r="J59" s="638">
        <f>'20'!M33</f>
        <v>340000</v>
      </c>
      <c r="K59" s="636">
        <f t="shared" si="14"/>
        <v>100</v>
      </c>
    </row>
    <row r="60" spans="2:13" s="45" customFormat="1" ht="15" customHeight="1">
      <c r="B60" s="144"/>
      <c r="C60" s="647" t="s">
        <v>99</v>
      </c>
      <c r="D60" s="648"/>
      <c r="E60" s="715" t="s">
        <v>476</v>
      </c>
      <c r="F60" s="710">
        <f>SUM(F61:F68)</f>
        <v>5425000</v>
      </c>
      <c r="G60" s="711">
        <f t="shared" ref="G60:J60" si="16">SUM(G61:G68)</f>
        <v>5425000</v>
      </c>
      <c r="H60" s="712">
        <f t="shared" si="16"/>
        <v>5344000</v>
      </c>
      <c r="I60" s="710">
        <f t="shared" si="16"/>
        <v>341000</v>
      </c>
      <c r="J60" s="678">
        <f t="shared" si="16"/>
        <v>5685000</v>
      </c>
      <c r="K60" s="679">
        <f t="shared" si="14"/>
        <v>104.7926267281106</v>
      </c>
    </row>
    <row r="61" spans="2:13" s="1" customFormat="1" ht="15" customHeight="1">
      <c r="B61" s="12"/>
      <c r="C61" s="646" t="s">
        <v>99</v>
      </c>
      <c r="D61" s="639" t="s">
        <v>513</v>
      </c>
      <c r="E61" s="716" t="s">
        <v>466</v>
      </c>
      <c r="F61" s="690">
        <f>'2'!I36</f>
        <v>150000</v>
      </c>
      <c r="G61" s="691">
        <f>'2'!J36</f>
        <v>150000</v>
      </c>
      <c r="H61" s="692">
        <f>'2'!K36</f>
        <v>220000</v>
      </c>
      <c r="I61" s="690">
        <f>'2'!L36</f>
        <v>0</v>
      </c>
      <c r="J61" s="638">
        <f>'2'!M36</f>
        <v>220000</v>
      </c>
      <c r="K61" s="636">
        <f t="shared" si="14"/>
        <v>146.66666666666666</v>
      </c>
    </row>
    <row r="62" spans="2:13" s="165" customFormat="1" ht="27" customHeight="1">
      <c r="B62" s="171"/>
      <c r="C62" s="637">
        <v>614200</v>
      </c>
      <c r="D62" s="639" t="s">
        <v>639</v>
      </c>
      <c r="E62" s="717" t="s">
        <v>748</v>
      </c>
      <c r="F62" s="632">
        <f>'6'!I29</f>
        <v>80000</v>
      </c>
      <c r="G62" s="633">
        <f>'6'!J29</f>
        <v>80000</v>
      </c>
      <c r="H62" s="634">
        <f>'6'!K29</f>
        <v>120000</v>
      </c>
      <c r="I62" s="632">
        <f>'6'!L29</f>
        <v>0</v>
      </c>
      <c r="J62" s="638">
        <f>'6'!M29</f>
        <v>120000</v>
      </c>
      <c r="K62" s="636">
        <f t="shared" si="14"/>
        <v>150</v>
      </c>
    </row>
    <row r="63" spans="2:13" s="165" customFormat="1" ht="15" customHeight="1">
      <c r="B63" s="171"/>
      <c r="C63" s="637" t="s">
        <v>99</v>
      </c>
      <c r="D63" s="639" t="s">
        <v>621</v>
      </c>
      <c r="E63" s="689" t="s">
        <v>877</v>
      </c>
      <c r="F63" s="632">
        <f>'17'!I30</f>
        <v>55000</v>
      </c>
      <c r="G63" s="633">
        <f>'17'!J30</f>
        <v>55000</v>
      </c>
      <c r="H63" s="634">
        <f>'17'!K30</f>
        <v>55000</v>
      </c>
      <c r="I63" s="632">
        <f>'17'!L30</f>
        <v>0</v>
      </c>
      <c r="J63" s="638">
        <f>'17'!M30</f>
        <v>55000</v>
      </c>
      <c r="K63" s="636">
        <f t="shared" si="14"/>
        <v>100</v>
      </c>
    </row>
    <row r="64" spans="2:13" s="165" customFormat="1" ht="15" customHeight="1">
      <c r="B64" s="171"/>
      <c r="C64" s="637" t="s">
        <v>99</v>
      </c>
      <c r="D64" s="639" t="s">
        <v>622</v>
      </c>
      <c r="E64" s="689" t="s">
        <v>878</v>
      </c>
      <c r="F64" s="632">
        <f>'17'!I31</f>
        <v>3315000</v>
      </c>
      <c r="G64" s="633">
        <f>'17'!J31</f>
        <v>3315000</v>
      </c>
      <c r="H64" s="634">
        <f>'17'!K31</f>
        <v>3179000</v>
      </c>
      <c r="I64" s="632">
        <f>'17'!L31</f>
        <v>231000</v>
      </c>
      <c r="J64" s="638">
        <f>'17'!M31</f>
        <v>3410000</v>
      </c>
      <c r="K64" s="636">
        <f t="shared" si="14"/>
        <v>102.86576168929109</v>
      </c>
    </row>
    <row r="65" spans="2:11" s="1" customFormat="1" ht="15" customHeight="1">
      <c r="B65" s="12"/>
      <c r="C65" s="637" t="s">
        <v>99</v>
      </c>
      <c r="D65" s="644" t="s">
        <v>536</v>
      </c>
      <c r="E65" s="714" t="s">
        <v>467</v>
      </c>
      <c r="F65" s="632">
        <f>'20'!I34</f>
        <v>150000</v>
      </c>
      <c r="G65" s="633">
        <f>'20'!J34</f>
        <v>150000</v>
      </c>
      <c r="H65" s="634">
        <f>'20'!K34</f>
        <v>150000</v>
      </c>
      <c r="I65" s="632">
        <f>'20'!L34</f>
        <v>0</v>
      </c>
      <c r="J65" s="638">
        <f>'20'!M34</f>
        <v>150000</v>
      </c>
      <c r="K65" s="636">
        <f t="shared" si="14"/>
        <v>100</v>
      </c>
    </row>
    <row r="66" spans="2:11" s="1" customFormat="1" ht="24.75" customHeight="1">
      <c r="B66" s="12"/>
      <c r="C66" s="637" t="s">
        <v>99</v>
      </c>
      <c r="D66" s="644" t="s">
        <v>537</v>
      </c>
      <c r="E66" s="717" t="s">
        <v>468</v>
      </c>
      <c r="F66" s="632">
        <f>'20'!I35</f>
        <v>15000</v>
      </c>
      <c r="G66" s="633">
        <f>'20'!J35</f>
        <v>15000</v>
      </c>
      <c r="H66" s="634">
        <f>'20'!K35</f>
        <v>20000</v>
      </c>
      <c r="I66" s="632">
        <f>'20'!L35</f>
        <v>0</v>
      </c>
      <c r="J66" s="638">
        <f>'20'!M35</f>
        <v>20000</v>
      </c>
      <c r="K66" s="636">
        <f t="shared" si="14"/>
        <v>133.33333333333331</v>
      </c>
    </row>
    <row r="67" spans="2:11" s="1" customFormat="1" ht="15" customHeight="1">
      <c r="B67" s="12"/>
      <c r="C67" s="637">
        <v>614200</v>
      </c>
      <c r="D67" s="644" t="s">
        <v>540</v>
      </c>
      <c r="E67" s="714" t="s">
        <v>890</v>
      </c>
      <c r="F67" s="632">
        <f>'31'!I29</f>
        <v>1600000</v>
      </c>
      <c r="G67" s="633">
        <f>'31'!J28</f>
        <v>1600000</v>
      </c>
      <c r="H67" s="634">
        <f>'31'!K28</f>
        <v>1600000</v>
      </c>
      <c r="I67" s="632">
        <f>'31'!L28</f>
        <v>0</v>
      </c>
      <c r="J67" s="638">
        <f>'31'!M28</f>
        <v>1600000</v>
      </c>
      <c r="K67" s="636">
        <f t="shared" si="14"/>
        <v>100</v>
      </c>
    </row>
    <row r="68" spans="2:11" s="1" customFormat="1" ht="15" customHeight="1">
      <c r="B68" s="12"/>
      <c r="C68" s="637" t="s">
        <v>99</v>
      </c>
      <c r="D68" s="644" t="s">
        <v>541</v>
      </c>
      <c r="E68" s="689" t="s">
        <v>469</v>
      </c>
      <c r="F68" s="632">
        <f>'33'!I29</f>
        <v>60000</v>
      </c>
      <c r="G68" s="633">
        <f>'33'!J29</f>
        <v>60000</v>
      </c>
      <c r="H68" s="634">
        <f>'33'!K29</f>
        <v>0</v>
      </c>
      <c r="I68" s="632">
        <f>'33'!L29</f>
        <v>110000</v>
      </c>
      <c r="J68" s="638">
        <f>'33'!M29</f>
        <v>110000</v>
      </c>
      <c r="K68" s="636">
        <f t="shared" si="14"/>
        <v>183.33333333333331</v>
      </c>
    </row>
    <row r="69" spans="2:11" s="45" customFormat="1" ht="15" customHeight="1">
      <c r="B69" s="144"/>
      <c r="C69" s="649" t="s">
        <v>100</v>
      </c>
      <c r="D69" s="650"/>
      <c r="E69" s="718" t="s">
        <v>477</v>
      </c>
      <c r="F69" s="719">
        <f>SUM(F70:F80)</f>
        <v>1325000</v>
      </c>
      <c r="G69" s="720">
        <f t="shared" ref="G69:J69" si="17">SUM(G70:G80)</f>
        <v>1325000</v>
      </c>
      <c r="H69" s="721">
        <f t="shared" si="17"/>
        <v>1330000</v>
      </c>
      <c r="I69" s="719">
        <f t="shared" si="17"/>
        <v>0</v>
      </c>
      <c r="J69" s="678">
        <f t="shared" si="17"/>
        <v>1330000</v>
      </c>
      <c r="K69" s="679">
        <f t="shared" si="14"/>
        <v>100.37735849056604</v>
      </c>
    </row>
    <row r="70" spans="2:11" s="1" customFormat="1" ht="15" customHeight="1">
      <c r="B70" s="12"/>
      <c r="C70" s="637" t="s">
        <v>100</v>
      </c>
      <c r="D70" s="644" t="s">
        <v>794</v>
      </c>
      <c r="E70" s="714" t="s">
        <v>871</v>
      </c>
      <c r="F70" s="632">
        <f>'2'!I41</f>
        <v>140000</v>
      </c>
      <c r="G70" s="633">
        <f>'2'!J41</f>
        <v>140000</v>
      </c>
      <c r="H70" s="634">
        <f>'2'!K41</f>
        <v>140000</v>
      </c>
      <c r="I70" s="632">
        <f>'2'!L41</f>
        <v>0</v>
      </c>
      <c r="J70" s="638">
        <f>'2'!M41</f>
        <v>140000</v>
      </c>
      <c r="K70" s="636">
        <f t="shared" si="14"/>
        <v>100</v>
      </c>
    </row>
    <row r="71" spans="2:11" s="1" customFormat="1" ht="15" customHeight="1">
      <c r="B71" s="12"/>
      <c r="C71" s="637" t="s">
        <v>100</v>
      </c>
      <c r="D71" s="644" t="s">
        <v>514</v>
      </c>
      <c r="E71" s="689" t="s">
        <v>872</v>
      </c>
      <c r="F71" s="632">
        <f>'2'!I37</f>
        <v>50000</v>
      </c>
      <c r="G71" s="633">
        <f>'2'!J37</f>
        <v>50000</v>
      </c>
      <c r="H71" s="634">
        <f>'2'!K37</f>
        <v>70000</v>
      </c>
      <c r="I71" s="632">
        <f>'2'!L37</f>
        <v>0</v>
      </c>
      <c r="J71" s="638">
        <f>'2'!M37</f>
        <v>70000</v>
      </c>
      <c r="K71" s="636">
        <f t="shared" si="14"/>
        <v>140</v>
      </c>
    </row>
    <row r="72" spans="2:11" ht="15" customHeight="1">
      <c r="B72" s="10"/>
      <c r="C72" s="637" t="s">
        <v>100</v>
      </c>
      <c r="D72" s="644" t="s">
        <v>515</v>
      </c>
      <c r="E72" s="689" t="s">
        <v>470</v>
      </c>
      <c r="F72" s="690">
        <f>'2'!I38</f>
        <v>30000</v>
      </c>
      <c r="G72" s="691">
        <f>'2'!J38</f>
        <v>30000</v>
      </c>
      <c r="H72" s="692">
        <f>'2'!K38</f>
        <v>30000</v>
      </c>
      <c r="I72" s="690">
        <f>'2'!L38</f>
        <v>0</v>
      </c>
      <c r="J72" s="638">
        <f>'2'!M38</f>
        <v>30000</v>
      </c>
      <c r="K72" s="636">
        <f t="shared" si="14"/>
        <v>100</v>
      </c>
    </row>
    <row r="73" spans="2:11" s="1" customFormat="1" ht="15" customHeight="1">
      <c r="B73" s="22"/>
      <c r="C73" s="646" t="s">
        <v>100</v>
      </c>
      <c r="D73" s="639" t="s">
        <v>516</v>
      </c>
      <c r="E73" s="689" t="s">
        <v>471</v>
      </c>
      <c r="F73" s="690">
        <f>'2'!I39</f>
        <v>35000</v>
      </c>
      <c r="G73" s="691">
        <f>'2'!J39</f>
        <v>35000</v>
      </c>
      <c r="H73" s="692">
        <f>'2'!K39</f>
        <v>35000</v>
      </c>
      <c r="I73" s="690">
        <f>'2'!L39</f>
        <v>0</v>
      </c>
      <c r="J73" s="638">
        <f>'2'!M39</f>
        <v>35000</v>
      </c>
      <c r="K73" s="636">
        <f t="shared" ref="K73:K105" si="18">IF(G73=0,"",J73/G73*100)</f>
        <v>100</v>
      </c>
    </row>
    <row r="74" spans="2:11" s="1" customFormat="1" ht="15" customHeight="1">
      <c r="B74" s="22"/>
      <c r="C74" s="646" t="s">
        <v>100</v>
      </c>
      <c r="D74" s="639" t="s">
        <v>517</v>
      </c>
      <c r="E74" s="689" t="s">
        <v>498</v>
      </c>
      <c r="F74" s="690">
        <f>'2'!I40</f>
        <v>15000</v>
      </c>
      <c r="G74" s="691">
        <f>'2'!J40</f>
        <v>15000</v>
      </c>
      <c r="H74" s="692">
        <f>'2'!K40</f>
        <v>15000</v>
      </c>
      <c r="I74" s="690">
        <f>'2'!L40</f>
        <v>0</v>
      </c>
      <c r="J74" s="638">
        <f>'2'!M40</f>
        <v>15000</v>
      </c>
      <c r="K74" s="636">
        <f t="shared" si="18"/>
        <v>100</v>
      </c>
    </row>
    <row r="75" spans="2:11" s="514" customFormat="1" ht="15" customHeight="1">
      <c r="B75" s="515"/>
      <c r="C75" s="651" t="s">
        <v>100</v>
      </c>
      <c r="D75" s="652" t="s">
        <v>793</v>
      </c>
      <c r="E75" s="689" t="s">
        <v>789</v>
      </c>
      <c r="F75" s="690">
        <f>'17'!I32</f>
        <v>95000</v>
      </c>
      <c r="G75" s="691">
        <f>'17'!J32</f>
        <v>95000</v>
      </c>
      <c r="H75" s="692">
        <f>'17'!K32</f>
        <v>100000</v>
      </c>
      <c r="I75" s="690">
        <f>'17'!L32</f>
        <v>0</v>
      </c>
      <c r="J75" s="635">
        <f>'17'!M32</f>
        <v>100000</v>
      </c>
      <c r="K75" s="636">
        <f t="shared" si="18"/>
        <v>105.26315789473684</v>
      </c>
    </row>
    <row r="76" spans="2:11" ht="15" customHeight="1" thickBot="1">
      <c r="B76" s="16"/>
      <c r="C76" s="646" t="s">
        <v>100</v>
      </c>
      <c r="D76" s="639" t="s">
        <v>538</v>
      </c>
      <c r="E76" s="714" t="s">
        <v>865</v>
      </c>
      <c r="F76" s="690">
        <f>'20'!I36</f>
        <v>320000</v>
      </c>
      <c r="G76" s="691">
        <f>'20'!J36</f>
        <v>320000</v>
      </c>
      <c r="H76" s="692">
        <f>'20'!K36</f>
        <v>220000</v>
      </c>
      <c r="I76" s="690">
        <f>'20'!L36</f>
        <v>0</v>
      </c>
      <c r="J76" s="638">
        <f>'20'!M36</f>
        <v>220000</v>
      </c>
      <c r="K76" s="636">
        <f t="shared" si="18"/>
        <v>68.75</v>
      </c>
    </row>
    <row r="77" spans="2:11" ht="15" customHeight="1">
      <c r="C77" s="646" t="s">
        <v>100</v>
      </c>
      <c r="D77" s="639" t="s">
        <v>539</v>
      </c>
      <c r="E77" s="714" t="s">
        <v>866</v>
      </c>
      <c r="F77" s="690">
        <f>'20'!I37</f>
        <v>250000</v>
      </c>
      <c r="G77" s="691">
        <f>'20'!J37</f>
        <v>250000</v>
      </c>
      <c r="H77" s="692">
        <f>'20'!K37</f>
        <v>280000</v>
      </c>
      <c r="I77" s="690">
        <f>'20'!L37</f>
        <v>0</v>
      </c>
      <c r="J77" s="638">
        <f>'20'!M37</f>
        <v>280000</v>
      </c>
      <c r="K77" s="636">
        <f t="shared" si="18"/>
        <v>112.00000000000001</v>
      </c>
    </row>
    <row r="78" spans="2:11" ht="15" customHeight="1">
      <c r="C78" s="646" t="s">
        <v>100</v>
      </c>
      <c r="D78" s="639" t="s">
        <v>542</v>
      </c>
      <c r="E78" s="714" t="s">
        <v>483</v>
      </c>
      <c r="F78" s="690">
        <f>'33'!I30</f>
        <v>0</v>
      </c>
      <c r="G78" s="691">
        <f>'33'!J30</f>
        <v>0</v>
      </c>
      <c r="H78" s="692">
        <f>'33'!K30</f>
        <v>0</v>
      </c>
      <c r="I78" s="690">
        <f>'33'!L30</f>
        <v>0</v>
      </c>
      <c r="J78" s="638">
        <f>'33'!M30</f>
        <v>0</v>
      </c>
      <c r="K78" s="636" t="str">
        <f t="shared" si="18"/>
        <v/>
      </c>
    </row>
    <row r="79" spans="2:11" s="168" customFormat="1" ht="15" customHeight="1">
      <c r="C79" s="646" t="s">
        <v>100</v>
      </c>
      <c r="D79" s="639" t="s">
        <v>630</v>
      </c>
      <c r="E79" s="714" t="s">
        <v>867</v>
      </c>
      <c r="F79" s="690">
        <f>'20'!I38</f>
        <v>310000</v>
      </c>
      <c r="G79" s="691">
        <f>'20'!J38</f>
        <v>310000</v>
      </c>
      <c r="H79" s="692">
        <f>'20'!K38</f>
        <v>320000</v>
      </c>
      <c r="I79" s="690">
        <f>'20'!L38</f>
        <v>0</v>
      </c>
      <c r="J79" s="638">
        <f>'20'!M38</f>
        <v>320000</v>
      </c>
      <c r="K79" s="636">
        <f t="shared" si="18"/>
        <v>103.2258064516129</v>
      </c>
    </row>
    <row r="80" spans="2:11" s="168" customFormat="1" ht="15" customHeight="1">
      <c r="C80" s="646" t="s">
        <v>100</v>
      </c>
      <c r="D80" s="639" t="s">
        <v>631</v>
      </c>
      <c r="E80" s="714" t="s">
        <v>868</v>
      </c>
      <c r="F80" s="690">
        <f>'20'!I39</f>
        <v>80000</v>
      </c>
      <c r="G80" s="691">
        <f>'20'!J39</f>
        <v>80000</v>
      </c>
      <c r="H80" s="692">
        <f>'20'!K39</f>
        <v>120000</v>
      </c>
      <c r="I80" s="690">
        <f>'20'!L39</f>
        <v>0</v>
      </c>
      <c r="J80" s="638">
        <f>'20'!M39</f>
        <v>120000</v>
      </c>
      <c r="K80" s="636">
        <f t="shared" si="18"/>
        <v>150</v>
      </c>
    </row>
    <row r="81" spans="3:11" s="45" customFormat="1" ht="15" customHeight="1">
      <c r="C81" s="647" t="s">
        <v>175</v>
      </c>
      <c r="D81" s="648"/>
      <c r="E81" s="718" t="s">
        <v>478</v>
      </c>
      <c r="F81" s="710">
        <f>SUM(F82:F85)</f>
        <v>2350000</v>
      </c>
      <c r="G81" s="711">
        <f t="shared" ref="G81:J81" si="19">SUM(G82:G85)</f>
        <v>2350000</v>
      </c>
      <c r="H81" s="712">
        <f t="shared" si="19"/>
        <v>1300000</v>
      </c>
      <c r="I81" s="710">
        <f t="shared" si="19"/>
        <v>1250000</v>
      </c>
      <c r="J81" s="678">
        <f t="shared" si="19"/>
        <v>2550000</v>
      </c>
      <c r="K81" s="679">
        <f t="shared" si="18"/>
        <v>108.51063829787233</v>
      </c>
    </row>
    <row r="82" spans="3:11" ht="15" customHeight="1">
      <c r="C82" s="646" t="s">
        <v>175</v>
      </c>
      <c r="D82" s="639" t="s">
        <v>520</v>
      </c>
      <c r="E82" s="714" t="s">
        <v>502</v>
      </c>
      <c r="F82" s="690">
        <f>'15'!I31</f>
        <v>1050000</v>
      </c>
      <c r="G82" s="691">
        <f>'15'!J31</f>
        <v>1050000</v>
      </c>
      <c r="H82" s="692">
        <f>'15'!K31</f>
        <v>0</v>
      </c>
      <c r="I82" s="690">
        <f>'15'!L31</f>
        <v>900000</v>
      </c>
      <c r="J82" s="638">
        <f>'15'!M31</f>
        <v>900000</v>
      </c>
      <c r="K82" s="636">
        <f t="shared" si="18"/>
        <v>85.714285714285708</v>
      </c>
    </row>
    <row r="83" spans="3:11" ht="15" customHeight="1">
      <c r="C83" s="637" t="s">
        <v>175</v>
      </c>
      <c r="D83" s="644" t="s">
        <v>529</v>
      </c>
      <c r="E83" s="714" t="s">
        <v>887</v>
      </c>
      <c r="F83" s="632">
        <f>'19'!I30</f>
        <v>1050000</v>
      </c>
      <c r="G83" s="633">
        <f>'19'!J30</f>
        <v>1050000</v>
      </c>
      <c r="H83" s="634">
        <f>'19'!K30</f>
        <v>1250000</v>
      </c>
      <c r="I83" s="632">
        <f>'19'!L30</f>
        <v>0</v>
      </c>
      <c r="J83" s="638">
        <f>'19'!M30</f>
        <v>1250000</v>
      </c>
      <c r="K83" s="636">
        <f t="shared" si="18"/>
        <v>119.04761904761905</v>
      </c>
    </row>
    <row r="84" spans="3:11" ht="15" customHeight="1">
      <c r="C84" s="637" t="s">
        <v>175</v>
      </c>
      <c r="D84" s="644" t="s">
        <v>531</v>
      </c>
      <c r="E84" s="714" t="s">
        <v>888</v>
      </c>
      <c r="F84" s="632">
        <f>'19'!I31</f>
        <v>200000</v>
      </c>
      <c r="G84" s="633">
        <f>'19'!J31</f>
        <v>200000</v>
      </c>
      <c r="H84" s="634">
        <f>'19'!K31</f>
        <v>50000</v>
      </c>
      <c r="I84" s="632">
        <f>'19'!L31</f>
        <v>150000</v>
      </c>
      <c r="J84" s="638">
        <f>'19'!M31</f>
        <v>200000</v>
      </c>
      <c r="K84" s="636">
        <f t="shared" si="18"/>
        <v>100</v>
      </c>
    </row>
    <row r="85" spans="3:11" ht="15" customHeight="1">
      <c r="C85" s="637" t="s">
        <v>175</v>
      </c>
      <c r="D85" s="644" t="s">
        <v>532</v>
      </c>
      <c r="E85" s="722" t="s">
        <v>472</v>
      </c>
      <c r="F85" s="632">
        <f>'19'!I32</f>
        <v>50000</v>
      </c>
      <c r="G85" s="633">
        <f>'19'!J32</f>
        <v>50000</v>
      </c>
      <c r="H85" s="634">
        <f>'19'!K32</f>
        <v>0</v>
      </c>
      <c r="I85" s="632">
        <f>'19'!L32</f>
        <v>200000</v>
      </c>
      <c r="J85" s="638">
        <f>'19'!M32</f>
        <v>200000</v>
      </c>
      <c r="K85" s="636">
        <f t="shared" si="18"/>
        <v>400</v>
      </c>
    </row>
    <row r="86" spans="3:11" s="45" customFormat="1" ht="15" customHeight="1">
      <c r="C86" s="649">
        <v>614800</v>
      </c>
      <c r="D86" s="650"/>
      <c r="E86" s="723" t="s">
        <v>479</v>
      </c>
      <c r="F86" s="719">
        <f>SUM(F87:F88)</f>
        <v>144000</v>
      </c>
      <c r="G86" s="720">
        <f t="shared" ref="G86:J86" si="20">SUM(G87:G88)</f>
        <v>144000</v>
      </c>
      <c r="H86" s="721">
        <f t="shared" si="20"/>
        <v>88000</v>
      </c>
      <c r="I86" s="719">
        <f t="shared" si="20"/>
        <v>0</v>
      </c>
      <c r="J86" s="678">
        <f t="shared" si="20"/>
        <v>88000</v>
      </c>
      <c r="K86" s="679">
        <f t="shared" si="18"/>
        <v>61.111111111111114</v>
      </c>
    </row>
    <row r="87" spans="3:11" ht="15" customHeight="1">
      <c r="C87" s="637">
        <v>614800</v>
      </c>
      <c r="D87" s="644" t="s">
        <v>523</v>
      </c>
      <c r="E87" s="722" t="s">
        <v>473</v>
      </c>
      <c r="F87" s="632">
        <f>'16'!I34</f>
        <v>120000</v>
      </c>
      <c r="G87" s="633">
        <f>'16'!J34</f>
        <v>120000</v>
      </c>
      <c r="H87" s="634">
        <f>'16'!K34</f>
        <v>68000</v>
      </c>
      <c r="I87" s="632">
        <f>'16'!L34</f>
        <v>0</v>
      </c>
      <c r="J87" s="638">
        <f>'16'!M34</f>
        <v>68000</v>
      </c>
      <c r="K87" s="636">
        <f t="shared" si="18"/>
        <v>56.666666666666664</v>
      </c>
    </row>
    <row r="88" spans="3:11" ht="27" customHeight="1">
      <c r="C88" s="637">
        <v>614800</v>
      </c>
      <c r="D88" s="644" t="s">
        <v>524</v>
      </c>
      <c r="E88" s="724" t="s">
        <v>474</v>
      </c>
      <c r="F88" s="632">
        <f>'16'!I35</f>
        <v>24000</v>
      </c>
      <c r="G88" s="633">
        <f>'16'!J35</f>
        <v>24000</v>
      </c>
      <c r="H88" s="634">
        <f>'16'!K35</f>
        <v>20000</v>
      </c>
      <c r="I88" s="632">
        <f>'16'!L35</f>
        <v>0</v>
      </c>
      <c r="J88" s="638">
        <f>'16'!M35</f>
        <v>20000</v>
      </c>
      <c r="K88" s="636">
        <f t="shared" si="18"/>
        <v>83.333333333333343</v>
      </c>
    </row>
    <row r="89" spans="3:11" ht="13.5" customHeight="1">
      <c r="C89" s="653"/>
      <c r="D89" s="654"/>
      <c r="E89" s="725"/>
      <c r="F89" s="726"/>
      <c r="G89" s="727"/>
      <c r="H89" s="728"/>
      <c r="I89" s="726"/>
      <c r="J89" s="673"/>
      <c r="K89" s="679" t="str">
        <f t="shared" si="18"/>
        <v/>
      </c>
    </row>
    <row r="90" spans="3:11" ht="15" customHeight="1">
      <c r="C90" s="655">
        <v>615000</v>
      </c>
      <c r="D90" s="656"/>
      <c r="E90" s="729" t="s">
        <v>88</v>
      </c>
      <c r="F90" s="670">
        <f>SUM(F91:F94)</f>
        <v>1250000</v>
      </c>
      <c r="G90" s="671">
        <f t="shared" ref="G90:J90" si="21">SUM(G91:G94)</f>
        <v>1250000</v>
      </c>
      <c r="H90" s="672">
        <f t="shared" si="21"/>
        <v>450000</v>
      </c>
      <c r="I90" s="670">
        <f t="shared" si="21"/>
        <v>900000</v>
      </c>
      <c r="J90" s="673">
        <f t="shared" si="21"/>
        <v>1350000</v>
      </c>
      <c r="K90" s="674">
        <f t="shared" si="18"/>
        <v>108</v>
      </c>
    </row>
    <row r="91" spans="3:11" ht="15" customHeight="1">
      <c r="C91" s="657" t="s">
        <v>176</v>
      </c>
      <c r="D91" s="650"/>
      <c r="E91" s="730" t="s">
        <v>918</v>
      </c>
      <c r="F91" s="675">
        <f>'2'!I44</f>
        <v>400000</v>
      </c>
      <c r="G91" s="676">
        <f>'2'!J44</f>
        <v>400000</v>
      </c>
      <c r="H91" s="677">
        <f>'2'!K44</f>
        <v>300000</v>
      </c>
      <c r="I91" s="675">
        <f>'2'!L44</f>
        <v>0</v>
      </c>
      <c r="J91" s="678">
        <f>'2'!M44</f>
        <v>300000</v>
      </c>
      <c r="K91" s="679">
        <f t="shared" si="18"/>
        <v>75</v>
      </c>
    </row>
    <row r="92" spans="3:11" s="168" customFormat="1" ht="15" customHeight="1">
      <c r="C92" s="658" t="s">
        <v>176</v>
      </c>
      <c r="D92" s="648" t="s">
        <v>746</v>
      </c>
      <c r="E92" s="731" t="s">
        <v>693</v>
      </c>
      <c r="F92" s="675">
        <f>'19'!I35</f>
        <v>150000</v>
      </c>
      <c r="G92" s="676">
        <f>'19'!J35</f>
        <v>150000</v>
      </c>
      <c r="H92" s="677">
        <f>'19'!K35</f>
        <v>150000</v>
      </c>
      <c r="I92" s="675">
        <f>'19'!L35</f>
        <v>150000</v>
      </c>
      <c r="J92" s="678">
        <f>'19'!M35</f>
        <v>300000</v>
      </c>
      <c r="K92" s="679">
        <f t="shared" si="18"/>
        <v>200</v>
      </c>
    </row>
    <row r="93" spans="3:11" s="168" customFormat="1" ht="15" customHeight="1">
      <c r="C93" s="658" t="s">
        <v>176</v>
      </c>
      <c r="D93" s="648" t="s">
        <v>747</v>
      </c>
      <c r="E93" s="731" t="s">
        <v>689</v>
      </c>
      <c r="F93" s="675">
        <f>'19'!I36</f>
        <v>100000</v>
      </c>
      <c r="G93" s="676">
        <f>'19'!J36</f>
        <v>100000</v>
      </c>
      <c r="H93" s="677">
        <f>'19'!K36</f>
        <v>0</v>
      </c>
      <c r="I93" s="675">
        <f>'19'!L36</f>
        <v>150000</v>
      </c>
      <c r="J93" s="678">
        <f>'19'!M36</f>
        <v>150000</v>
      </c>
      <c r="K93" s="679">
        <f t="shared" si="18"/>
        <v>150</v>
      </c>
    </row>
    <row r="94" spans="3:11" s="168" customFormat="1" ht="15" customHeight="1">
      <c r="C94" s="658" t="s">
        <v>634</v>
      </c>
      <c r="D94" s="648" t="s">
        <v>633</v>
      </c>
      <c r="E94" s="731" t="s">
        <v>688</v>
      </c>
      <c r="F94" s="675">
        <f>'15'!I34</f>
        <v>600000</v>
      </c>
      <c r="G94" s="676">
        <f>'15'!J34</f>
        <v>600000</v>
      </c>
      <c r="H94" s="677">
        <f>'15'!K34</f>
        <v>0</v>
      </c>
      <c r="I94" s="675">
        <f>'15'!L34</f>
        <v>600000</v>
      </c>
      <c r="J94" s="678">
        <f>'15'!M34</f>
        <v>600000</v>
      </c>
      <c r="K94" s="679">
        <f t="shared" si="18"/>
        <v>100</v>
      </c>
    </row>
    <row r="95" spans="3:11" ht="12.75" customHeight="1">
      <c r="C95" s="659"/>
      <c r="D95" s="660"/>
      <c r="E95" s="732"/>
      <c r="F95" s="675"/>
      <c r="G95" s="676"/>
      <c r="H95" s="677"/>
      <c r="I95" s="675"/>
      <c r="J95" s="678"/>
      <c r="K95" s="679" t="str">
        <f t="shared" si="18"/>
        <v/>
      </c>
    </row>
    <row r="96" spans="3:11" ht="15" customHeight="1">
      <c r="C96" s="661" t="s">
        <v>98</v>
      </c>
      <c r="D96" s="662"/>
      <c r="E96" s="729" t="s">
        <v>172</v>
      </c>
      <c r="F96" s="670">
        <f t="shared" ref="F96:J96" si="22">SUM(F97:F98)</f>
        <v>34780</v>
      </c>
      <c r="G96" s="671">
        <f t="shared" si="22"/>
        <v>34780</v>
      </c>
      <c r="H96" s="672">
        <f t="shared" si="22"/>
        <v>30430</v>
      </c>
      <c r="I96" s="670">
        <f t="shared" si="22"/>
        <v>0</v>
      </c>
      <c r="J96" s="673">
        <f t="shared" si="22"/>
        <v>30430</v>
      </c>
      <c r="K96" s="674">
        <f t="shared" si="18"/>
        <v>87.492811960897072</v>
      </c>
    </row>
    <row r="97" spans="3:11" ht="15" customHeight="1">
      <c r="C97" s="663">
        <v>616300</v>
      </c>
      <c r="D97" s="641" t="s">
        <v>525</v>
      </c>
      <c r="E97" s="730" t="s">
        <v>757</v>
      </c>
      <c r="F97" s="675">
        <f>'16'!I38</f>
        <v>17060</v>
      </c>
      <c r="G97" s="676">
        <f>'16'!J38</f>
        <v>17060</v>
      </c>
      <c r="H97" s="677">
        <f>'16'!K38</f>
        <v>17900</v>
      </c>
      <c r="I97" s="675">
        <f>'16'!L38</f>
        <v>0</v>
      </c>
      <c r="J97" s="678">
        <f>'16'!M38</f>
        <v>17900</v>
      </c>
      <c r="K97" s="679">
        <f t="shared" si="18"/>
        <v>104.92379835873389</v>
      </c>
    </row>
    <row r="98" spans="3:11" ht="15" customHeight="1">
      <c r="C98" s="663">
        <v>616300</v>
      </c>
      <c r="D98" s="641" t="s">
        <v>526</v>
      </c>
      <c r="E98" s="730" t="s">
        <v>758</v>
      </c>
      <c r="F98" s="675">
        <f>'16'!I39</f>
        <v>17720</v>
      </c>
      <c r="G98" s="676">
        <f>'16'!J39</f>
        <v>17720</v>
      </c>
      <c r="H98" s="677">
        <f>'16'!K39</f>
        <v>12530</v>
      </c>
      <c r="I98" s="675">
        <f>'16'!L39</f>
        <v>0</v>
      </c>
      <c r="J98" s="678">
        <f>'16'!M39</f>
        <v>12530</v>
      </c>
      <c r="K98" s="679">
        <f t="shared" si="18"/>
        <v>70.711060948081268</v>
      </c>
    </row>
    <row r="99" spans="3:11" ht="12" customHeight="1">
      <c r="C99" s="663"/>
      <c r="D99" s="641"/>
      <c r="E99" s="730"/>
      <c r="F99" s="675"/>
      <c r="G99" s="676"/>
      <c r="H99" s="677"/>
      <c r="I99" s="675"/>
      <c r="J99" s="678"/>
      <c r="K99" s="679" t="str">
        <f t="shared" si="18"/>
        <v/>
      </c>
    </row>
    <row r="100" spans="3:11" ht="15" customHeight="1">
      <c r="C100" s="664">
        <v>821000</v>
      </c>
      <c r="D100" s="665"/>
      <c r="E100" s="669" t="s">
        <v>89</v>
      </c>
      <c r="F100" s="670">
        <f t="shared" ref="F100:J100" si="23">SUM(F101:F106)</f>
        <v>2118330</v>
      </c>
      <c r="G100" s="671">
        <f t="shared" si="23"/>
        <v>2118330</v>
      </c>
      <c r="H100" s="672">
        <f t="shared" si="23"/>
        <v>840200</v>
      </c>
      <c r="I100" s="670">
        <f t="shared" si="23"/>
        <v>1790000</v>
      </c>
      <c r="J100" s="673">
        <f t="shared" si="23"/>
        <v>2630200</v>
      </c>
      <c r="K100" s="674">
        <f t="shared" si="18"/>
        <v>124.16384604853823</v>
      </c>
    </row>
    <row r="101" spans="3:11" ht="15" customHeight="1">
      <c r="C101" s="666">
        <v>821200</v>
      </c>
      <c r="D101" s="667"/>
      <c r="E101" s="684" t="s">
        <v>90</v>
      </c>
      <c r="F101" s="685">
        <f>'1'!I29+'2'!I47+'6'!I32+'3'!I29+'4'!I29+'5'!I29+'7'!I29+'8'!I30+'9'!I31+'10'!I30+'11'!I29+'12'!I29+'13'!I29+'15'!I37+'16'!I42+'17'!I35+'18'!I33+'19'!I39+'20'!I42+'21'!I29+'22'!I29+'23'!I29+'24'!I29+'25'!I29+'26'!I29+'27'!I29+'28'!I29+'29'!I29+'30'!I29+'31'!I32+'32'!I29+'33'!I33+'34'!I29+'35'!I29+'36'!I29+'37'!I29+'14'!I29</f>
        <v>415380</v>
      </c>
      <c r="G101" s="686">
        <f>'1'!J29+'2'!J47+'6'!J32+'3'!J29+'4'!J29+'5'!J29+'7'!J29+'8'!J30+'9'!J31+'10'!J30+'11'!J29+'12'!J29+'13'!J29+'15'!J37+'16'!J42+'17'!J35+'18'!J33+'19'!J39+'20'!J42+'21'!J29+'22'!J29+'23'!J29+'24'!J29+'25'!J29+'26'!J29+'27'!J29+'28'!J29+'29'!J29+'30'!J29+'31'!J32+'32'!J29+'33'!J33+'34'!J29+'35'!J29+'36'!J29+'37'!J29+'14'!J29</f>
        <v>415380</v>
      </c>
      <c r="H101" s="687">
        <f>'1'!K29+'2'!K47+'6'!K32+'3'!K29+'4'!K29+'5'!K29+'7'!K29+'8'!K30+'9'!K31+'10'!K30+'11'!K29+'12'!K29+'13'!K29+'15'!K37+'16'!K42+'17'!K35+'18'!K33+'19'!K39+'20'!K42+'21'!K29+'22'!K29+'23'!K29+'24'!K29+'25'!K29+'26'!K29+'27'!K29+'28'!K29+'29'!K29+'30'!K29+'31'!K32+'32'!K29+'33'!K33+'34'!K29+'35'!K29+'36'!K29+'37'!K29+'14'!K29</f>
        <v>360000</v>
      </c>
      <c r="I101" s="685">
        <f>'1'!L29+'2'!L47+'6'!L32+'3'!L29+'4'!L29+'5'!L29+'7'!L29+'8'!L30+'9'!L31+'10'!L30+'11'!L29+'12'!L29+'13'!L29+'15'!L37+'16'!L42+'17'!L35+'18'!L33+'19'!L39+'20'!L42+'21'!L29+'22'!L29+'23'!L29+'24'!L29+'25'!L29+'26'!L29+'27'!L29+'28'!L29+'29'!L29+'30'!L29+'31'!L32+'32'!L29+'33'!L33+'34'!L29+'35'!L29+'36'!L29+'37'!L29+'14'!L29</f>
        <v>0</v>
      </c>
      <c r="J101" s="678">
        <f>'1'!M29+'2'!M47+'6'!M32+'3'!M29+'4'!M29+'5'!M29+'7'!M29+'8'!M30+'9'!M31+'10'!M30+'11'!M29+'12'!M29+'13'!M29+'15'!M37+'16'!M42+'17'!M35+'18'!M33+'19'!M39+'20'!M42+'21'!M29+'22'!M29+'23'!M29+'24'!M29+'25'!M29+'26'!M29+'27'!M29+'28'!M29+'29'!M29+'30'!M29+'31'!M32+'32'!M29+'33'!M33+'34'!M29+'35'!M29+'36'!M29+'37'!M29+'14'!M29</f>
        <v>360000</v>
      </c>
      <c r="K101" s="679">
        <f t="shared" si="18"/>
        <v>86.667629640329338</v>
      </c>
    </row>
    <row r="102" spans="3:11" ht="15" customHeight="1">
      <c r="C102" s="666">
        <v>821300</v>
      </c>
      <c r="D102" s="667"/>
      <c r="E102" s="684" t="s">
        <v>91</v>
      </c>
      <c r="F102" s="685">
        <f>'1'!I30+'2'!I48+'6'!I33+'3'!I30+'4'!I30+'5'!I30+'7'!I30+'8'!I31+'9'!I32+'10'!I31+'11'!I30+'12'!I30+'13'!I30+'15'!I38+'16'!I43+'17'!I36+'18'!I34+'19'!I40+'20'!I43+'21'!I30+'22'!I30+'23'!I30+'24'!I30+'25'!I30+'26'!I30+'27'!I30+'28'!I30+'29'!I30+'30'!I30+'31'!I33+'32'!I30+'33'!I34+'34'!I30+'35'!I30+'36'!I30+'37'!I30+'14'!I30</f>
        <v>492950</v>
      </c>
      <c r="G102" s="686">
        <f>'1'!J30+'2'!J48+'6'!J33+'3'!J30+'4'!J30+'5'!J30+'7'!J30+'8'!J31+'9'!J32+'10'!J31+'11'!J30+'12'!J30+'13'!J30+'15'!J38+'16'!J43+'17'!J36+'18'!J34+'19'!J40+'20'!J43+'21'!J30+'22'!J30+'23'!J30+'24'!J30+'25'!J30+'26'!J30+'27'!J30+'28'!J30+'29'!J30+'30'!J30+'31'!J33+'32'!J30+'33'!J34+'34'!J30+'35'!J30+'36'!J30+'37'!J30+'14'!J30</f>
        <v>492950</v>
      </c>
      <c r="H102" s="687">
        <f>'1'!K30+'2'!K48+'6'!K33+'3'!K30+'4'!K30+'5'!K30+'7'!K30+'8'!K31+'9'!K32+'10'!K31+'11'!K30+'12'!K30+'13'!K30+'15'!K38+'16'!K43+'17'!K36+'18'!K34+'19'!K40+'20'!K43+'21'!K30+'22'!K30+'23'!K30+'24'!K30+'25'!K30+'26'!K30+'27'!K30+'28'!K30+'29'!K30+'30'!K30+'31'!K33+'32'!K30+'33'!K34+'34'!K30+'35'!K30+'36'!K30+'37'!K30+'14'!K30</f>
        <v>477200</v>
      </c>
      <c r="I102" s="685">
        <f>'1'!L30+'2'!L48+'6'!L33+'3'!L30+'4'!L30+'5'!L30+'7'!L30+'8'!L31+'9'!L32+'10'!L31+'11'!L30+'12'!L30+'13'!L30+'15'!L38+'16'!L43+'17'!L36+'18'!L34+'19'!L40+'20'!L43+'21'!L30+'22'!L30+'23'!L30+'24'!L30+'25'!L30+'26'!L30+'27'!L30+'28'!L30+'29'!L30+'30'!L30+'31'!L33+'32'!L30+'33'!L34+'34'!L30+'35'!L30+'36'!L30+'37'!L30+'14'!L30</f>
        <v>70000</v>
      </c>
      <c r="J102" s="678">
        <f>'1'!M30+'2'!M48+'6'!M33+'3'!M30+'4'!M30+'5'!M30+'7'!M30+'8'!M31+'9'!M32+'10'!M31+'11'!M30+'12'!M30+'13'!M30+'15'!M38+'16'!M43+'17'!M36+'18'!M34+'19'!M40+'20'!M43+'21'!M30+'22'!M30+'23'!M30+'24'!M30+'25'!M30+'26'!M30+'27'!M30+'28'!M30+'29'!M30+'30'!M30+'31'!M33+'32'!M30+'33'!M34+'34'!M30+'35'!M30+'36'!M30+'37'!M30+'14'!M30</f>
        <v>547200</v>
      </c>
      <c r="K102" s="679">
        <f t="shared" si="18"/>
        <v>111.00517293843188</v>
      </c>
    </row>
    <row r="103" spans="3:11" s="168" customFormat="1" ht="15" customHeight="1">
      <c r="C103" s="666">
        <v>821300</v>
      </c>
      <c r="D103" s="667" t="s">
        <v>925</v>
      </c>
      <c r="E103" s="733" t="s">
        <v>902</v>
      </c>
      <c r="F103" s="685">
        <f>'33'!I35</f>
        <v>0</v>
      </c>
      <c r="G103" s="686">
        <f>'33'!J35</f>
        <v>0</v>
      </c>
      <c r="H103" s="687">
        <f>'33'!K35</f>
        <v>0</v>
      </c>
      <c r="I103" s="685">
        <f>'33'!L35</f>
        <v>40000</v>
      </c>
      <c r="J103" s="678">
        <f>'33'!M35</f>
        <v>40000</v>
      </c>
      <c r="K103" s="679" t="str">
        <f t="shared" ref="K103" si="24">IF(G103=0,"",J103/G103*100)</f>
        <v/>
      </c>
    </row>
    <row r="104" spans="3:11" ht="15" customHeight="1">
      <c r="C104" s="666">
        <v>821500</v>
      </c>
      <c r="D104" s="667"/>
      <c r="E104" s="734" t="s">
        <v>438</v>
      </c>
      <c r="F104" s="685">
        <f>'2'!I49+'1'!I31</f>
        <v>0</v>
      </c>
      <c r="G104" s="686">
        <f>'2'!J49+'1'!J31</f>
        <v>0</v>
      </c>
      <c r="H104" s="687">
        <f>'2'!K49+'1'!K31</f>
        <v>3000</v>
      </c>
      <c r="I104" s="685">
        <f>'2'!L49+'1'!L31</f>
        <v>0</v>
      </c>
      <c r="J104" s="678">
        <f>'2'!M49+'1'!M31</f>
        <v>3000</v>
      </c>
      <c r="K104" s="679" t="str">
        <f t="shared" si="18"/>
        <v/>
      </c>
    </row>
    <row r="105" spans="3:11" s="168" customFormat="1" ht="15" customHeight="1">
      <c r="C105" s="666">
        <v>821500</v>
      </c>
      <c r="D105" s="667" t="s">
        <v>637</v>
      </c>
      <c r="E105" s="733" t="s">
        <v>636</v>
      </c>
      <c r="F105" s="685">
        <f>'18'!I35</f>
        <v>990000</v>
      </c>
      <c r="G105" s="686">
        <f>'18'!J35</f>
        <v>990000</v>
      </c>
      <c r="H105" s="687">
        <f>'18'!K35</f>
        <v>0</v>
      </c>
      <c r="I105" s="685">
        <f>'18'!L35</f>
        <v>1330000</v>
      </c>
      <c r="J105" s="678">
        <f>'18'!M35</f>
        <v>1330000</v>
      </c>
      <c r="K105" s="679">
        <f t="shared" si="18"/>
        <v>134.34343434343435</v>
      </c>
    </row>
    <row r="106" spans="3:11" s="168" customFormat="1" ht="15" customHeight="1">
      <c r="C106" s="666">
        <v>821600</v>
      </c>
      <c r="D106" s="667" t="s">
        <v>638</v>
      </c>
      <c r="E106" s="733" t="s">
        <v>635</v>
      </c>
      <c r="F106" s="685">
        <f>'18'!I36</f>
        <v>220000</v>
      </c>
      <c r="G106" s="686">
        <f>'18'!J36</f>
        <v>220000</v>
      </c>
      <c r="H106" s="687">
        <f>'18'!K36</f>
        <v>0</v>
      </c>
      <c r="I106" s="685">
        <f>'18'!L36</f>
        <v>350000</v>
      </c>
      <c r="J106" s="678">
        <f>'18'!M36</f>
        <v>350000</v>
      </c>
      <c r="K106" s="679">
        <f t="shared" ref="K106:K111" si="25">IF(G106=0,"",J106/G106*100)</f>
        <v>159.09090909090909</v>
      </c>
    </row>
    <row r="107" spans="3:11" ht="11.25" customHeight="1">
      <c r="C107" s="663"/>
      <c r="D107" s="641"/>
      <c r="E107" s="80"/>
      <c r="F107" s="735"/>
      <c r="G107" s="736"/>
      <c r="H107" s="737"/>
      <c r="I107" s="735"/>
      <c r="J107" s="678"/>
      <c r="K107" s="679" t="str">
        <f t="shared" si="25"/>
        <v/>
      </c>
    </row>
    <row r="108" spans="3:11" ht="15" customHeight="1">
      <c r="C108" s="664">
        <v>823000</v>
      </c>
      <c r="D108" s="665"/>
      <c r="E108" s="669" t="s">
        <v>173</v>
      </c>
      <c r="F108" s="670">
        <f t="shared" ref="F108:J108" si="26">SUM(F109:F110)</f>
        <v>512970</v>
      </c>
      <c r="G108" s="671">
        <f t="shared" si="26"/>
        <v>512970</v>
      </c>
      <c r="H108" s="672">
        <f t="shared" si="26"/>
        <v>518890</v>
      </c>
      <c r="I108" s="670">
        <f t="shared" si="26"/>
        <v>0</v>
      </c>
      <c r="J108" s="673">
        <f t="shared" si="26"/>
        <v>518890</v>
      </c>
      <c r="K108" s="674">
        <f t="shared" si="25"/>
        <v>101.15406359046337</v>
      </c>
    </row>
    <row r="109" spans="3:11" ht="15" customHeight="1">
      <c r="C109" s="663">
        <v>823200</v>
      </c>
      <c r="D109" s="641" t="s">
        <v>525</v>
      </c>
      <c r="E109" s="738" t="s">
        <v>762</v>
      </c>
      <c r="F109" s="675">
        <f>'16'!I46</f>
        <v>82680</v>
      </c>
      <c r="G109" s="676">
        <f>'16'!J46</f>
        <v>82680</v>
      </c>
      <c r="H109" s="677">
        <f>'16'!K46</f>
        <v>88600</v>
      </c>
      <c r="I109" s="675">
        <f>'16'!L46</f>
        <v>0</v>
      </c>
      <c r="J109" s="678">
        <f>'16'!M46</f>
        <v>88600</v>
      </c>
      <c r="K109" s="679">
        <f t="shared" si="25"/>
        <v>107.16013546202225</v>
      </c>
    </row>
    <row r="110" spans="3:11" ht="15" customHeight="1">
      <c r="C110" s="663">
        <v>823200</v>
      </c>
      <c r="D110" s="641" t="s">
        <v>526</v>
      </c>
      <c r="E110" s="738" t="s">
        <v>763</v>
      </c>
      <c r="F110" s="675">
        <f>'16'!I47</f>
        <v>430290</v>
      </c>
      <c r="G110" s="676">
        <f>'16'!J47</f>
        <v>430290</v>
      </c>
      <c r="H110" s="677">
        <f>'16'!K47</f>
        <v>430290</v>
      </c>
      <c r="I110" s="675">
        <f>'16'!L47</f>
        <v>0</v>
      </c>
      <c r="J110" s="678">
        <f>'16'!M47</f>
        <v>430290</v>
      </c>
      <c r="K110" s="679">
        <f t="shared" si="25"/>
        <v>100</v>
      </c>
    </row>
    <row r="111" spans="3:11" ht="8.25" customHeight="1">
      <c r="C111" s="663"/>
      <c r="D111" s="641"/>
      <c r="E111" s="11"/>
      <c r="F111" s="29"/>
      <c r="G111" s="438"/>
      <c r="H111" s="155"/>
      <c r="I111" s="163"/>
      <c r="J111" s="263"/>
      <c r="K111" s="76" t="str">
        <f t="shared" si="25"/>
        <v/>
      </c>
    </row>
    <row r="112" spans="3:11" ht="15" customHeight="1">
      <c r="C112" s="668"/>
      <c r="D112" s="654"/>
      <c r="E112" s="8" t="s">
        <v>92</v>
      </c>
      <c r="F112" s="179" t="s">
        <v>827</v>
      </c>
      <c r="G112" s="620" t="s">
        <v>827</v>
      </c>
      <c r="H112" s="159" t="s">
        <v>913</v>
      </c>
      <c r="I112" s="179">
        <v>1</v>
      </c>
      <c r="J112" s="266" t="s">
        <v>912</v>
      </c>
      <c r="K112" s="76"/>
    </row>
    <row r="113" spans="3:13" ht="15" customHeight="1">
      <c r="C113" s="4"/>
      <c r="D113" s="195"/>
      <c r="E113" s="8" t="s">
        <v>917</v>
      </c>
      <c r="F113" s="15">
        <f>'1'!I34+'2'!I52+'4 (S)'!I36+'6'!I36+'3'!I33+'4'!I33+'5'!I33+'7'!I33+'8'!I34+'9'!I35+'10'!I34+'11'!I33+'12'!I33+'13'!I33+'15'!I41+'16'!I50+'17'!I39+'18'!I39+'19'!I43+'20'!I46+'21'!I33+'22'!I33+'23'!I33+'24'!I33+'25'!I33+'26'!I33+'27'!I33+'28'!I33+'29'!I33+'30'!I33+'31'!I36+'32'!I33+'33'!I38+'34'!I33+'35'!I33+'36'!I33+'37'!I33+'14'!I33</f>
        <v>47745080</v>
      </c>
      <c r="G113" s="387">
        <f>'1'!J34+'2'!J52+'4 (S)'!J36+'6'!J36+'3'!J33+'4'!J33+'5'!J33+'7'!J33+'8'!J34+'9'!J35+'10'!J34+'11'!J33+'12'!J33+'13'!J33+'15'!J41+'16'!J50+'17'!J39+'18'!J39+'19'!J43+'20'!J46+'21'!J33+'22'!J33+'23'!J33+'24'!J33+'25'!J33+'26'!J33+'27'!J33+'28'!J33+'29'!J33+'30'!J33+'31'!J36+'32'!J33+'33'!J38+'34'!J33+'35'!J33+'36'!J33+'37'!J33+'14'!J33</f>
        <v>47745080</v>
      </c>
      <c r="H113" s="160">
        <f>'1'!K34+'2'!K52+'4 (S)'!K36+'6'!K36+'3'!K33+'4'!K33+'5'!K33+'7'!K33+'8'!K34+'9'!K35+'10'!K34+'11'!K33+'12'!K33+'13'!K33+'15'!K41+'16'!K50+'17'!K39+'18'!K39+'19'!K43+'20'!K46+'21'!K33+'22'!K33+'23'!K33+'24'!K33+'25'!K33+'26'!K33+'27'!K33+'28'!K33+'29'!K33+'30'!K33+'31'!K36+'32'!K33+'33'!K38+'34'!K33+'35'!K33+'36'!K33+'37'!K33+'14'!K33</f>
        <v>43660595</v>
      </c>
      <c r="I113" s="172">
        <f>'1'!L34+'2'!L52+'4 (S)'!L36+'6'!L36+'3'!L33+'4'!L33+'5'!L33+'7'!L33+'8'!L34+'9'!L35+'10'!L34+'11'!L33+'12'!L33+'13'!L33+'15'!L41+'16'!L50+'17'!L39+'18'!L39+'19'!L43+'20'!L46+'21'!L33+'22'!L33+'23'!L33+'24'!L33+'25'!L33+'26'!L33+'27'!L33+'28'!L33+'29'!L33+'30'!L33+'31'!L36+'32'!L33+'33'!L38+'34'!L33+'35'!L33+'36'!L33+'37'!L33+'14'!L33</f>
        <v>6116145</v>
      </c>
      <c r="J113" s="264">
        <f>'1'!M34+'2'!M52+'4 (S)'!M36+'6'!M36+'3'!M33+'4'!M33+'5'!M33+'7'!M33+'8'!M34+'9'!M35+'10'!M34+'11'!M33+'12'!M33+'13'!M33+'15'!M41+'16'!M50+'17'!M39+'18'!M39+'19'!M43+'20'!M46+'21'!M33+'22'!M33+'23'!M33+'24'!M33+'25'!M33+'26'!M33+'27'!M33+'28'!M33+'29'!M33+'30'!M33+'31'!M36+'32'!M33+'33'!M38+'34'!M33+'35'!M33+'36'!M33+'37'!M33+'14'!M33</f>
        <v>49776740</v>
      </c>
      <c r="K113" s="153">
        <f>IF(G113=0,"",J113/G113*100)</f>
        <v>104.25522378431454</v>
      </c>
      <c r="M113" s="51"/>
    </row>
    <row r="114" spans="3:13" ht="9" customHeight="1" thickBot="1">
      <c r="C114" s="28"/>
      <c r="D114" s="201"/>
      <c r="E114" s="17"/>
      <c r="F114" s="27"/>
      <c r="G114" s="562"/>
      <c r="H114" s="386"/>
      <c r="I114" s="17"/>
      <c r="J114" s="271"/>
      <c r="K114" s="71"/>
    </row>
    <row r="115" spans="3:13" ht="9" customHeight="1" thickBot="1">
      <c r="C115" s="43"/>
      <c r="D115" s="182"/>
      <c r="E115" s="44"/>
      <c r="F115" s="44"/>
      <c r="G115" s="44"/>
      <c r="H115" s="44"/>
      <c r="I115" s="44"/>
      <c r="J115" s="44"/>
      <c r="K115" s="70"/>
    </row>
    <row r="116" spans="3:13" ht="7.5" customHeight="1"/>
    <row r="117" spans="3:13" ht="8.25" customHeight="1">
      <c r="C117" s="32"/>
      <c r="D117" s="175"/>
    </row>
    <row r="118" spans="3:13" ht="15" customHeight="1">
      <c r="C118" s="524" t="s">
        <v>180</v>
      </c>
      <c r="D118" s="524"/>
      <c r="E118" s="491"/>
      <c r="F118" s="491"/>
      <c r="G118" s="491"/>
      <c r="H118" s="491"/>
      <c r="I118" s="491"/>
      <c r="J118" s="525"/>
      <c r="K118" s="526"/>
    </row>
    <row r="119" spans="3:13" ht="6.75" customHeight="1">
      <c r="C119" s="527"/>
      <c r="D119" s="527"/>
      <c r="E119" s="491"/>
      <c r="F119" s="491"/>
      <c r="G119" s="491"/>
      <c r="H119" s="491"/>
      <c r="I119" s="491"/>
      <c r="J119" s="525"/>
      <c r="K119" s="526"/>
    </row>
    <row r="120" spans="3:13" ht="12" customHeight="1">
      <c r="C120" s="860" t="s">
        <v>181</v>
      </c>
      <c r="D120" s="860"/>
      <c r="E120" s="860"/>
      <c r="F120" s="528"/>
      <c r="G120" s="528"/>
      <c r="H120" s="528"/>
      <c r="I120" s="528"/>
      <c r="J120" s="528"/>
      <c r="K120" s="529"/>
    </row>
    <row r="121" spans="3:13" ht="9" customHeight="1">
      <c r="C121" s="528"/>
      <c r="D121" s="528"/>
      <c r="E121" s="528"/>
      <c r="F121" s="528"/>
      <c r="G121" s="528"/>
      <c r="H121" s="528"/>
      <c r="I121" s="528"/>
      <c r="J121" s="528"/>
      <c r="K121" s="529"/>
    </row>
    <row r="122" spans="3:13" ht="12" customHeight="1">
      <c r="C122" s="856" t="str">
        <f>CONCATENATE("     Rashodi i izdaci u Proračunu u iznosu od ",TEXT(J113,"#.##0")," KM raspoređuju se po korisnicima proračuna u Posebnom dijelu Proračuna kako slijedi:")</f>
        <v xml:space="preserve">     Rashodi i izdaci u Proračunu u iznosu od 49.776.740 KM raspoređuju se po korisnicima proračuna u Posebnom dijelu Proračuna kako slijedi:</v>
      </c>
      <c r="D122" s="856"/>
      <c r="E122" s="856"/>
      <c r="F122" s="856"/>
      <c r="G122" s="856"/>
      <c r="H122" s="856"/>
      <c r="I122" s="856"/>
      <c r="J122" s="856"/>
      <c r="K122" s="856"/>
    </row>
  </sheetData>
  <mergeCells count="11">
    <mergeCell ref="C122:K122"/>
    <mergeCell ref="J3:K3"/>
    <mergeCell ref="C3:E3"/>
    <mergeCell ref="C120:E120"/>
    <mergeCell ref="H4:J4"/>
    <mergeCell ref="C4:C5"/>
    <mergeCell ref="D4:D5"/>
    <mergeCell ref="E4:E5"/>
    <mergeCell ref="F4:F5"/>
    <mergeCell ref="G4:G5"/>
    <mergeCell ref="K4:K5"/>
  </mergeCells>
  <phoneticPr fontId="2" type="noConversion"/>
  <pageMargins left="1.07" right="0.31496062992125984" top="0.35433070866141736" bottom="0.51181102362204722" header="0.39370078740157483" footer="0.31496062992125984"/>
  <pageSetup paperSize="9" scale="87" firstPageNumber="7" orientation="landscape" r:id="rId1"/>
  <headerFooter alignWithMargins="0">
    <oddFooter>&amp;R&amp;P</oddFooter>
  </headerFooter>
  <rowBreaks count="1" manualBreakCount="1">
    <brk id="40" min="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R97"/>
  <sheetViews>
    <sheetView topLeftCell="A4" workbookViewId="0">
      <selection activeCell="H45" sqref="H45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5" width="9.140625" style="9"/>
    <col min="16" max="16" width="9.5703125" style="9" bestFit="1" customWidth="1"/>
    <col min="17" max="16384" width="9.140625" style="9"/>
  </cols>
  <sheetData>
    <row r="1" spans="1:18" ht="13.5" thickBot="1"/>
    <row r="2" spans="1:18" s="83" customFormat="1" ht="20.100000000000001" customHeight="1" thickTop="1" thickBot="1">
      <c r="A2" s="252"/>
      <c r="B2" s="876" t="s">
        <v>108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878"/>
    </row>
    <row r="3" spans="1:18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8" s="1" customFormat="1" ht="39" customHeight="1">
      <c r="A4" s="165"/>
      <c r="B4" s="883" t="s">
        <v>77</v>
      </c>
      <c r="C4" s="885" t="s">
        <v>78</v>
      </c>
      <c r="D4" s="887" t="s">
        <v>103</v>
      </c>
      <c r="E4" s="896" t="s">
        <v>722</v>
      </c>
      <c r="F4" s="890" t="s">
        <v>480</v>
      </c>
      <c r="G4" s="888" t="s">
        <v>510</v>
      </c>
      <c r="H4" s="890" t="s">
        <v>79</v>
      </c>
      <c r="I4" s="892" t="s">
        <v>894</v>
      </c>
      <c r="J4" s="893" t="s">
        <v>796</v>
      </c>
      <c r="K4" s="880" t="s">
        <v>852</v>
      </c>
      <c r="L4" s="881"/>
      <c r="M4" s="882"/>
      <c r="N4" s="894" t="s">
        <v>754</v>
      </c>
      <c r="P4" s="61"/>
    </row>
    <row r="5" spans="1:18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1"/>
      <c r="K5" s="399" t="s">
        <v>543</v>
      </c>
      <c r="L5" s="249" t="s">
        <v>544</v>
      </c>
      <c r="M5" s="259" t="s">
        <v>331</v>
      </c>
      <c r="N5" s="895"/>
    </row>
    <row r="6" spans="1:18" s="2" customFormat="1" ht="12.7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7">
        <v>11</v>
      </c>
      <c r="L6" s="202">
        <v>12</v>
      </c>
      <c r="M6" s="373" t="s">
        <v>724</v>
      </c>
      <c r="N6" s="359">
        <v>14</v>
      </c>
    </row>
    <row r="7" spans="1:18" s="2" customFormat="1" ht="12.95" customHeight="1">
      <c r="A7" s="166"/>
      <c r="B7" s="6">
        <v>10</v>
      </c>
      <c r="C7" s="7" t="s">
        <v>80</v>
      </c>
      <c r="D7" s="7" t="s">
        <v>81</v>
      </c>
      <c r="E7" s="459" t="s">
        <v>723</v>
      </c>
      <c r="F7" s="5"/>
      <c r="G7" s="167"/>
      <c r="H7" s="5"/>
      <c r="I7" s="5"/>
      <c r="J7" s="5"/>
      <c r="K7" s="4"/>
      <c r="L7" s="167"/>
      <c r="M7" s="260"/>
      <c r="N7" s="216"/>
    </row>
    <row r="8" spans="1:18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8" t="s">
        <v>141</v>
      </c>
      <c r="I8" s="235">
        <f t="shared" ref="I8:J8" si="0">SUM(I9:I11)</f>
        <v>593380</v>
      </c>
      <c r="J8" s="235">
        <f t="shared" si="0"/>
        <v>593380</v>
      </c>
      <c r="K8" s="532">
        <f>SUM(K9:K11)</f>
        <v>599730</v>
      </c>
      <c r="L8" s="129">
        <f>SUM(L9:L11)</f>
        <v>0</v>
      </c>
      <c r="M8" s="261">
        <f>SUM(M9:M11)</f>
        <v>599730</v>
      </c>
      <c r="N8" s="217">
        <f t="shared" ref="N8:N32" si="1">IF(J8=0,"",M8/J8*100)</f>
        <v>101.07014055074319</v>
      </c>
      <c r="P8" s="50"/>
    </row>
    <row r="9" spans="1:18" ht="12.95" customHeight="1">
      <c r="B9" s="10"/>
      <c r="C9" s="11"/>
      <c r="D9" s="11"/>
      <c r="E9" s="170"/>
      <c r="F9" s="184">
        <v>611100</v>
      </c>
      <c r="G9" s="203"/>
      <c r="H9" s="20" t="s">
        <v>167</v>
      </c>
      <c r="I9" s="238">
        <v>491430</v>
      </c>
      <c r="J9" s="238">
        <v>491430</v>
      </c>
      <c r="K9" s="388">
        <f>496120+2000+820+3*1700</f>
        <v>504040</v>
      </c>
      <c r="L9" s="128">
        <v>0</v>
      </c>
      <c r="M9" s="262">
        <f>SUM(K9:L9)</f>
        <v>504040</v>
      </c>
      <c r="N9" s="218">
        <f t="shared" si="1"/>
        <v>102.56598091284619</v>
      </c>
      <c r="O9" s="45"/>
      <c r="P9" s="50"/>
      <c r="Q9" s="51"/>
      <c r="R9" s="51"/>
    </row>
    <row r="10" spans="1:18" ht="12.95" customHeight="1">
      <c r="B10" s="10"/>
      <c r="C10" s="11"/>
      <c r="D10" s="11"/>
      <c r="E10" s="170"/>
      <c r="F10" s="184">
        <v>611200</v>
      </c>
      <c r="G10" s="203"/>
      <c r="H10" s="20" t="s">
        <v>168</v>
      </c>
      <c r="I10" s="238">
        <v>101950</v>
      </c>
      <c r="J10" s="238">
        <v>101950</v>
      </c>
      <c r="K10" s="388">
        <f>93790+1000+900</f>
        <v>95690</v>
      </c>
      <c r="L10" s="128">
        <v>0</v>
      </c>
      <c r="M10" s="262">
        <f t="shared" ref="M10:M11" si="2">SUM(K10:L10)</f>
        <v>95690</v>
      </c>
      <c r="N10" s="218">
        <f t="shared" si="1"/>
        <v>93.859735164296225</v>
      </c>
      <c r="P10" s="50"/>
    </row>
    <row r="11" spans="1:18" ht="12.95" customHeight="1">
      <c r="B11" s="10"/>
      <c r="C11" s="11"/>
      <c r="D11" s="11"/>
      <c r="E11" s="170"/>
      <c r="F11" s="184">
        <v>611200</v>
      </c>
      <c r="G11" s="203"/>
      <c r="H11" s="124" t="s">
        <v>446</v>
      </c>
      <c r="I11" s="238">
        <f t="shared" ref="I11:J11" si="3">SUM(G11:H11)</f>
        <v>0</v>
      </c>
      <c r="J11" s="238">
        <f t="shared" si="3"/>
        <v>0</v>
      </c>
      <c r="K11" s="388"/>
      <c r="L11" s="128"/>
      <c r="M11" s="262">
        <f t="shared" si="2"/>
        <v>0</v>
      </c>
      <c r="N11" s="218" t="str">
        <f t="shared" si="1"/>
        <v/>
      </c>
      <c r="P11" s="50"/>
    </row>
    <row r="12" spans="1:18" ht="8.1" customHeight="1">
      <c r="B12" s="10"/>
      <c r="C12" s="11"/>
      <c r="D12" s="11"/>
      <c r="E12" s="170"/>
      <c r="F12" s="184"/>
      <c r="G12" s="203"/>
      <c r="H12" s="124"/>
      <c r="I12" s="238"/>
      <c r="J12" s="238"/>
      <c r="K12" s="388"/>
      <c r="L12" s="128"/>
      <c r="M12" s="262"/>
      <c r="N12" s="218" t="str">
        <f t="shared" si="1"/>
        <v/>
      </c>
      <c r="P12" s="50"/>
    </row>
    <row r="13" spans="1:18" ht="12.95" customHeight="1">
      <c r="B13" s="12"/>
      <c r="C13" s="8"/>
      <c r="D13" s="8"/>
      <c r="E13" s="8"/>
      <c r="F13" s="183">
        <v>612000</v>
      </c>
      <c r="G13" s="202"/>
      <c r="H13" s="8" t="s">
        <v>140</v>
      </c>
      <c r="I13" s="235">
        <f t="shared" ref="I13:J13" si="4">I14+I15</f>
        <v>51790</v>
      </c>
      <c r="J13" s="235">
        <f t="shared" si="4"/>
        <v>51790</v>
      </c>
      <c r="K13" s="532">
        <f>K14+K15</f>
        <v>53260</v>
      </c>
      <c r="L13" s="129">
        <f>L14+L15</f>
        <v>0</v>
      </c>
      <c r="M13" s="261">
        <f>M14+M15</f>
        <v>53260</v>
      </c>
      <c r="N13" s="217">
        <f t="shared" si="1"/>
        <v>102.8383857887623</v>
      </c>
      <c r="P13" s="50"/>
    </row>
    <row r="14" spans="1:18" s="1" customFormat="1" ht="12.95" customHeight="1">
      <c r="A14" s="165"/>
      <c r="B14" s="10"/>
      <c r="C14" s="11"/>
      <c r="D14" s="11"/>
      <c r="E14" s="170"/>
      <c r="F14" s="184">
        <v>612100</v>
      </c>
      <c r="G14" s="203"/>
      <c r="H14" s="13" t="s">
        <v>82</v>
      </c>
      <c r="I14" s="238">
        <v>51790</v>
      </c>
      <c r="J14" s="238">
        <v>51790</v>
      </c>
      <c r="K14" s="388">
        <f>52100+500+90+3*190</f>
        <v>53260</v>
      </c>
      <c r="L14" s="128">
        <v>0</v>
      </c>
      <c r="M14" s="262">
        <f>SUM(K14:L14)</f>
        <v>53260</v>
      </c>
      <c r="N14" s="218">
        <f t="shared" si="1"/>
        <v>102.8383857887623</v>
      </c>
      <c r="P14" s="50"/>
    </row>
    <row r="15" spans="1:18" ht="8.1" customHeight="1">
      <c r="B15" s="10"/>
      <c r="C15" s="11"/>
      <c r="D15" s="11"/>
      <c r="E15" s="170"/>
      <c r="F15" s="184"/>
      <c r="G15" s="203"/>
      <c r="H15" s="11"/>
      <c r="I15" s="238"/>
      <c r="J15" s="238"/>
      <c r="K15" s="389"/>
      <c r="L15" s="163"/>
      <c r="M15" s="263"/>
      <c r="N15" s="218" t="str">
        <f t="shared" si="1"/>
        <v/>
      </c>
      <c r="P15" s="50"/>
    </row>
    <row r="16" spans="1:18" ht="12.95" customHeight="1">
      <c r="B16" s="12"/>
      <c r="C16" s="8"/>
      <c r="D16" s="8"/>
      <c r="E16" s="8"/>
      <c r="F16" s="183">
        <v>613000</v>
      </c>
      <c r="G16" s="202"/>
      <c r="H16" s="8" t="s">
        <v>142</v>
      </c>
      <c r="I16" s="235">
        <f t="shared" ref="I16:J16" si="5">SUM(I17:I26)</f>
        <v>247520</v>
      </c>
      <c r="J16" s="235">
        <f t="shared" si="5"/>
        <v>247520</v>
      </c>
      <c r="K16" s="533">
        <f>SUM(K17:K26)</f>
        <v>261520</v>
      </c>
      <c r="L16" s="176">
        <f>SUM(L17:L26)</f>
        <v>0</v>
      </c>
      <c r="M16" s="264">
        <f>SUM(M17:M26)</f>
        <v>261520</v>
      </c>
      <c r="N16" s="217">
        <f t="shared" si="1"/>
        <v>105.65610859728507</v>
      </c>
      <c r="P16" s="50"/>
    </row>
    <row r="17" spans="1:17" s="1" customFormat="1" ht="12.95" customHeight="1">
      <c r="A17" s="165"/>
      <c r="B17" s="10"/>
      <c r="C17" s="11"/>
      <c r="D17" s="11"/>
      <c r="E17" s="170"/>
      <c r="F17" s="184">
        <v>613100</v>
      </c>
      <c r="G17" s="203"/>
      <c r="H17" s="11" t="s">
        <v>83</v>
      </c>
      <c r="I17" s="238">
        <v>4400</v>
      </c>
      <c r="J17" s="238">
        <v>4400</v>
      </c>
      <c r="K17" s="389">
        <v>5000</v>
      </c>
      <c r="L17" s="239">
        <v>0</v>
      </c>
      <c r="M17" s="262">
        <f t="shared" ref="M17:M26" si="6">SUM(K17:L17)</f>
        <v>5000</v>
      </c>
      <c r="N17" s="218">
        <f t="shared" si="1"/>
        <v>113.63636363636364</v>
      </c>
      <c r="P17" s="50"/>
    </row>
    <row r="18" spans="1:17" ht="12.95" customHeight="1">
      <c r="B18" s="10"/>
      <c r="C18" s="11"/>
      <c r="D18" s="11"/>
      <c r="E18" s="170"/>
      <c r="F18" s="184">
        <v>613200</v>
      </c>
      <c r="G18" s="203"/>
      <c r="H18" s="11" t="s">
        <v>84</v>
      </c>
      <c r="I18" s="238">
        <v>8500</v>
      </c>
      <c r="J18" s="238">
        <v>8500</v>
      </c>
      <c r="K18" s="389">
        <v>8500</v>
      </c>
      <c r="L18" s="239">
        <v>0</v>
      </c>
      <c r="M18" s="262">
        <f t="shared" si="6"/>
        <v>8500</v>
      </c>
      <c r="N18" s="218">
        <f t="shared" si="1"/>
        <v>100</v>
      </c>
      <c r="P18" s="50"/>
    </row>
    <row r="19" spans="1:17" ht="12.95" customHeight="1">
      <c r="B19" s="10"/>
      <c r="C19" s="11"/>
      <c r="D19" s="11"/>
      <c r="E19" s="170"/>
      <c r="F19" s="184">
        <v>613300</v>
      </c>
      <c r="G19" s="203"/>
      <c r="H19" s="20" t="s">
        <v>169</v>
      </c>
      <c r="I19" s="238">
        <v>6500</v>
      </c>
      <c r="J19" s="238">
        <v>6500</v>
      </c>
      <c r="K19" s="389">
        <v>6500</v>
      </c>
      <c r="L19" s="239">
        <v>0</v>
      </c>
      <c r="M19" s="262">
        <f t="shared" si="6"/>
        <v>6500</v>
      </c>
      <c r="N19" s="218">
        <f t="shared" si="1"/>
        <v>100</v>
      </c>
      <c r="P19" s="50"/>
    </row>
    <row r="20" spans="1:17" ht="12.95" customHeight="1">
      <c r="B20" s="10"/>
      <c r="C20" s="11"/>
      <c r="D20" s="11"/>
      <c r="E20" s="170"/>
      <c r="F20" s="184">
        <v>613400</v>
      </c>
      <c r="G20" s="203"/>
      <c r="H20" s="20" t="s">
        <v>143</v>
      </c>
      <c r="I20" s="238">
        <v>4200</v>
      </c>
      <c r="J20" s="238">
        <v>4200</v>
      </c>
      <c r="K20" s="388">
        <v>4200</v>
      </c>
      <c r="L20" s="243">
        <v>0</v>
      </c>
      <c r="M20" s="262">
        <f t="shared" si="6"/>
        <v>4200</v>
      </c>
      <c r="N20" s="218">
        <f t="shared" si="1"/>
        <v>100</v>
      </c>
      <c r="P20" s="50"/>
    </row>
    <row r="21" spans="1:17" ht="12.95" customHeight="1">
      <c r="B21" s="10"/>
      <c r="C21" s="11"/>
      <c r="D21" s="11"/>
      <c r="E21" s="170"/>
      <c r="F21" s="184">
        <v>613500</v>
      </c>
      <c r="G21" s="203"/>
      <c r="H21" s="11" t="s">
        <v>85</v>
      </c>
      <c r="I21" s="238">
        <v>7100</v>
      </c>
      <c r="J21" s="238">
        <v>7100</v>
      </c>
      <c r="K21" s="388">
        <v>9000</v>
      </c>
      <c r="L21" s="243">
        <v>0</v>
      </c>
      <c r="M21" s="262">
        <f t="shared" si="6"/>
        <v>9000</v>
      </c>
      <c r="N21" s="218">
        <f t="shared" si="1"/>
        <v>126.7605633802817</v>
      </c>
      <c r="P21" s="50"/>
    </row>
    <row r="22" spans="1:17" ht="12.95" customHeight="1">
      <c r="B22" s="10"/>
      <c r="C22" s="11"/>
      <c r="D22" s="11"/>
      <c r="E22" s="170"/>
      <c r="F22" s="184">
        <v>613600</v>
      </c>
      <c r="G22" s="203"/>
      <c r="H22" s="20" t="s">
        <v>170</v>
      </c>
      <c r="I22" s="238">
        <v>0</v>
      </c>
      <c r="J22" s="238">
        <v>0</v>
      </c>
      <c r="K22" s="389">
        <v>0</v>
      </c>
      <c r="L22" s="239">
        <v>0</v>
      </c>
      <c r="M22" s="262">
        <f t="shared" si="6"/>
        <v>0</v>
      </c>
      <c r="N22" s="218" t="str">
        <f t="shared" si="1"/>
        <v/>
      </c>
      <c r="P22" s="50"/>
    </row>
    <row r="23" spans="1:17" ht="12.95" customHeight="1">
      <c r="B23" s="10"/>
      <c r="C23" s="11"/>
      <c r="D23" s="11"/>
      <c r="E23" s="170"/>
      <c r="F23" s="184">
        <v>613700</v>
      </c>
      <c r="G23" s="203"/>
      <c r="H23" s="11" t="s">
        <v>86</v>
      </c>
      <c r="I23" s="238">
        <v>4500</v>
      </c>
      <c r="J23" s="238">
        <v>4500</v>
      </c>
      <c r="K23" s="389">
        <v>4500</v>
      </c>
      <c r="L23" s="239">
        <v>0</v>
      </c>
      <c r="M23" s="262">
        <f t="shared" si="6"/>
        <v>4500</v>
      </c>
      <c r="N23" s="218">
        <f t="shared" si="1"/>
        <v>100</v>
      </c>
      <c r="P23" s="50"/>
    </row>
    <row r="24" spans="1:17" ht="12.95" customHeight="1">
      <c r="B24" s="10"/>
      <c r="C24" s="11"/>
      <c r="D24" s="11"/>
      <c r="E24" s="170"/>
      <c r="F24" s="184">
        <v>613800</v>
      </c>
      <c r="G24" s="203"/>
      <c r="H24" s="20" t="s">
        <v>144</v>
      </c>
      <c r="I24" s="238">
        <v>2320</v>
      </c>
      <c r="J24" s="238">
        <v>2320</v>
      </c>
      <c r="K24" s="389">
        <v>3820</v>
      </c>
      <c r="L24" s="239">
        <v>0</v>
      </c>
      <c r="M24" s="262">
        <f t="shared" si="6"/>
        <v>3820</v>
      </c>
      <c r="N24" s="218">
        <f t="shared" si="1"/>
        <v>164.65517241379311</v>
      </c>
      <c r="P24" s="50"/>
    </row>
    <row r="25" spans="1:17" ht="12.95" customHeight="1">
      <c r="B25" s="10"/>
      <c r="C25" s="11"/>
      <c r="D25" s="11"/>
      <c r="E25" s="170"/>
      <c r="F25" s="184">
        <v>613900</v>
      </c>
      <c r="G25" s="203"/>
      <c r="H25" s="20" t="s">
        <v>145</v>
      </c>
      <c r="I25" s="238">
        <v>210000</v>
      </c>
      <c r="J25" s="238">
        <v>210000</v>
      </c>
      <c r="K25" s="388">
        <v>220000</v>
      </c>
      <c r="L25" s="243">
        <v>0</v>
      </c>
      <c r="M25" s="262">
        <f t="shared" si="6"/>
        <v>220000</v>
      </c>
      <c r="N25" s="218">
        <f t="shared" si="1"/>
        <v>104.76190476190477</v>
      </c>
      <c r="O25" s="58"/>
      <c r="P25" s="50"/>
    </row>
    <row r="26" spans="1:17" ht="12.95" customHeight="1">
      <c r="B26" s="10"/>
      <c r="C26" s="11"/>
      <c r="D26" s="11"/>
      <c r="E26" s="170"/>
      <c r="F26" s="184">
        <v>613900</v>
      </c>
      <c r="G26" s="203"/>
      <c r="H26" s="124" t="s">
        <v>447</v>
      </c>
      <c r="I26" s="238">
        <f t="shared" ref="I26:J26" si="7">SUM(G26:H26)</f>
        <v>0</v>
      </c>
      <c r="J26" s="238">
        <f t="shared" si="7"/>
        <v>0</v>
      </c>
      <c r="K26" s="389">
        <v>0</v>
      </c>
      <c r="L26" s="239">
        <v>0</v>
      </c>
      <c r="M26" s="262">
        <f t="shared" si="6"/>
        <v>0</v>
      </c>
      <c r="N26" s="218" t="str">
        <f t="shared" si="1"/>
        <v/>
      </c>
      <c r="P26" s="50"/>
      <c r="Q26" s="45"/>
    </row>
    <row r="27" spans="1:17" ht="8.1" customHeight="1">
      <c r="B27" s="10"/>
      <c r="C27" s="11"/>
      <c r="D27" s="11"/>
      <c r="E27" s="170"/>
      <c r="F27" s="184"/>
      <c r="G27" s="203"/>
      <c r="H27" s="11"/>
      <c r="I27" s="238"/>
      <c r="J27" s="238"/>
      <c r="K27" s="389"/>
      <c r="L27" s="163"/>
      <c r="M27" s="263"/>
      <c r="N27" s="218" t="str">
        <f t="shared" si="1"/>
        <v/>
      </c>
      <c r="P27" s="50"/>
    </row>
    <row r="28" spans="1:17" ht="12.95" customHeight="1">
      <c r="B28" s="12"/>
      <c r="C28" s="8"/>
      <c r="D28" s="8"/>
      <c r="E28" s="8"/>
      <c r="F28" s="183">
        <v>821000</v>
      </c>
      <c r="G28" s="202"/>
      <c r="H28" s="8" t="s">
        <v>89</v>
      </c>
      <c r="I28" s="235">
        <f>SUM(I29:I31)</f>
        <v>30000</v>
      </c>
      <c r="J28" s="235">
        <f t="shared" ref="J28:M28" si="8">SUM(J29:J31)</f>
        <v>30000</v>
      </c>
      <c r="K28" s="534">
        <f t="shared" si="8"/>
        <v>33000</v>
      </c>
      <c r="L28" s="172">
        <f t="shared" si="8"/>
        <v>0</v>
      </c>
      <c r="M28" s="264">
        <f t="shared" si="8"/>
        <v>33000</v>
      </c>
      <c r="N28" s="217">
        <f t="shared" si="1"/>
        <v>110.00000000000001</v>
      </c>
      <c r="P28" s="50"/>
    </row>
    <row r="29" spans="1:17" s="1" customFormat="1" ht="12.95" customHeight="1">
      <c r="A29" s="165"/>
      <c r="B29" s="10"/>
      <c r="C29" s="11"/>
      <c r="D29" s="11"/>
      <c r="E29" s="170"/>
      <c r="F29" s="184">
        <v>821200</v>
      </c>
      <c r="G29" s="203"/>
      <c r="H29" s="11" t="s">
        <v>90</v>
      </c>
      <c r="I29" s="238">
        <v>1000</v>
      </c>
      <c r="J29" s="238">
        <v>1000</v>
      </c>
      <c r="K29" s="388">
        <v>0</v>
      </c>
      <c r="L29" s="164">
        <v>0</v>
      </c>
      <c r="M29" s="262">
        <f t="shared" ref="M29:M30" si="9">SUM(K29:L29)</f>
        <v>0</v>
      </c>
      <c r="N29" s="218">
        <f t="shared" si="1"/>
        <v>0</v>
      </c>
      <c r="P29" s="50"/>
    </row>
    <row r="30" spans="1:17" ht="12.95" customHeight="1">
      <c r="B30" s="10"/>
      <c r="C30" s="11"/>
      <c r="D30" s="11"/>
      <c r="E30" s="170"/>
      <c r="F30" s="184">
        <v>821300</v>
      </c>
      <c r="G30" s="203"/>
      <c r="H30" s="11" t="s">
        <v>91</v>
      </c>
      <c r="I30" s="238">
        <v>29000</v>
      </c>
      <c r="J30" s="238">
        <v>29000</v>
      </c>
      <c r="K30" s="388">
        <v>30000</v>
      </c>
      <c r="L30" s="164">
        <v>0</v>
      </c>
      <c r="M30" s="262">
        <f t="shared" si="9"/>
        <v>30000</v>
      </c>
      <c r="N30" s="218">
        <f t="shared" si="1"/>
        <v>103.44827586206897</v>
      </c>
      <c r="O30" s="45"/>
      <c r="P30" s="50"/>
    </row>
    <row r="31" spans="1:17" s="168" customFormat="1" ht="12.95" customHeight="1">
      <c r="B31" s="169"/>
      <c r="C31" s="170"/>
      <c r="D31" s="170"/>
      <c r="E31" s="170"/>
      <c r="F31" s="184">
        <v>821500</v>
      </c>
      <c r="G31" s="203"/>
      <c r="H31" s="227" t="s">
        <v>438</v>
      </c>
      <c r="I31" s="238">
        <v>0</v>
      </c>
      <c r="J31" s="238">
        <v>0</v>
      </c>
      <c r="K31" s="388">
        <v>3000</v>
      </c>
      <c r="L31" s="164">
        <v>0</v>
      </c>
      <c r="M31" s="262">
        <f t="shared" ref="M31" si="10">SUM(K31:L31)</f>
        <v>3000</v>
      </c>
      <c r="N31" s="218" t="str">
        <f t="shared" ref="N31" si="11">IF(J31=0,"",M31/J31*100)</f>
        <v/>
      </c>
      <c r="O31" s="45"/>
      <c r="P31" s="50"/>
    </row>
    <row r="32" spans="1:17" ht="8.1" customHeight="1">
      <c r="B32" s="10"/>
      <c r="C32" s="11"/>
      <c r="D32" s="11"/>
      <c r="E32" s="170"/>
      <c r="F32" s="184"/>
      <c r="G32" s="203"/>
      <c r="H32" s="11"/>
      <c r="I32" s="238"/>
      <c r="J32" s="238"/>
      <c r="K32" s="389"/>
      <c r="L32" s="163"/>
      <c r="M32" s="263"/>
      <c r="N32" s="218" t="str">
        <f t="shared" si="1"/>
        <v/>
      </c>
      <c r="P32" s="50"/>
    </row>
    <row r="33" spans="1:16" ht="12.95" customHeight="1">
      <c r="B33" s="12"/>
      <c r="C33" s="8"/>
      <c r="D33" s="8"/>
      <c r="E33" s="8"/>
      <c r="F33" s="183"/>
      <c r="G33" s="202"/>
      <c r="H33" s="8" t="s">
        <v>92</v>
      </c>
      <c r="I33" s="379">
        <v>21</v>
      </c>
      <c r="J33" s="379">
        <v>21</v>
      </c>
      <c r="K33" s="535">
        <v>22</v>
      </c>
      <c r="L33" s="179"/>
      <c r="M33" s="266">
        <v>22</v>
      </c>
      <c r="N33" s="218"/>
      <c r="P33" s="50"/>
    </row>
    <row r="34" spans="1:16" s="1" customFormat="1" ht="12.95" customHeight="1">
      <c r="A34" s="165"/>
      <c r="B34" s="12"/>
      <c r="C34" s="8"/>
      <c r="D34" s="8"/>
      <c r="E34" s="8"/>
      <c r="F34" s="183"/>
      <c r="G34" s="202"/>
      <c r="H34" s="8" t="s">
        <v>106</v>
      </c>
      <c r="I34" s="15">
        <f t="shared" ref="I34:M34" si="12">I8+I13+I16+I28</f>
        <v>922690</v>
      </c>
      <c r="J34" s="15">
        <f t="shared" si="12"/>
        <v>922690</v>
      </c>
      <c r="K34" s="401">
        <f t="shared" si="12"/>
        <v>947510</v>
      </c>
      <c r="L34" s="172">
        <f t="shared" si="12"/>
        <v>0</v>
      </c>
      <c r="M34" s="264">
        <f t="shared" si="12"/>
        <v>947510</v>
      </c>
      <c r="N34" s="217">
        <f>IF(J34=0,"",M34/J34*100)</f>
        <v>102.68996087526688</v>
      </c>
      <c r="P34" s="50"/>
    </row>
    <row r="35" spans="1:16" s="1" customFormat="1" ht="12.95" customHeight="1">
      <c r="A35" s="165"/>
      <c r="B35" s="12"/>
      <c r="C35" s="8"/>
      <c r="D35" s="8"/>
      <c r="E35" s="8"/>
      <c r="F35" s="183"/>
      <c r="G35" s="202"/>
      <c r="H35" s="8" t="s">
        <v>93</v>
      </c>
      <c r="I35" s="15">
        <f>I34</f>
        <v>922690</v>
      </c>
      <c r="J35" s="172">
        <f t="shared" ref="J35:K36" si="13">J34</f>
        <v>922690</v>
      </c>
      <c r="K35" s="401">
        <f t="shared" si="13"/>
        <v>947510</v>
      </c>
      <c r="L35" s="172">
        <f>L34</f>
        <v>0</v>
      </c>
      <c r="M35" s="264">
        <f>M34</f>
        <v>947510</v>
      </c>
      <c r="N35" s="218">
        <f>IF(J35=0,"",M35/J35*100)</f>
        <v>102.68996087526688</v>
      </c>
    </row>
    <row r="36" spans="1:16" s="1" customFormat="1" ht="12.95" customHeight="1">
      <c r="A36" s="165"/>
      <c r="B36" s="12"/>
      <c r="C36" s="8"/>
      <c r="D36" s="8"/>
      <c r="E36" s="8"/>
      <c r="F36" s="183"/>
      <c r="G36" s="202"/>
      <c r="H36" s="8" t="s">
        <v>94</v>
      </c>
      <c r="I36" s="15">
        <f>I35</f>
        <v>922690</v>
      </c>
      <c r="J36" s="172">
        <f t="shared" si="13"/>
        <v>922690</v>
      </c>
      <c r="K36" s="401">
        <f t="shared" si="13"/>
        <v>947510</v>
      </c>
      <c r="L36" s="172">
        <f>L35</f>
        <v>0</v>
      </c>
      <c r="M36" s="264">
        <f>M35</f>
        <v>947510</v>
      </c>
      <c r="N36" s="218">
        <f>IF(J36=0,"",M36/J36*100)</f>
        <v>102.68996087526688</v>
      </c>
    </row>
    <row r="37" spans="1:16" s="1" customFormat="1" ht="8.1" customHeight="1" thickBot="1">
      <c r="A37" s="165"/>
      <c r="B37" s="16"/>
      <c r="C37" s="17"/>
      <c r="D37" s="17"/>
      <c r="E37" s="17"/>
      <c r="F37" s="185"/>
      <c r="G37" s="204"/>
      <c r="H37" s="17"/>
      <c r="I37" s="31"/>
      <c r="J37" s="31"/>
      <c r="K37" s="402"/>
      <c r="L37" s="31"/>
      <c r="M37" s="267"/>
      <c r="N37" s="220"/>
    </row>
    <row r="38" spans="1:16" ht="12.95" customHeight="1">
      <c r="F38" s="186"/>
      <c r="G38" s="205"/>
      <c r="M38" s="268"/>
    </row>
    <row r="39" spans="1:16" ht="12.95" customHeight="1">
      <c r="B39" s="45"/>
      <c r="F39" s="186"/>
      <c r="G39" s="205"/>
      <c r="K39" s="441"/>
      <c r="M39" s="268"/>
    </row>
    <row r="40" spans="1:16" ht="12.95" customHeight="1">
      <c r="F40" s="186"/>
      <c r="G40" s="205"/>
      <c r="M40" s="268"/>
    </row>
    <row r="41" spans="1:16" ht="12.95" customHeight="1">
      <c r="F41" s="186"/>
      <c r="G41" s="205"/>
      <c r="M41" s="268"/>
      <c r="N41" s="512"/>
    </row>
    <row r="42" spans="1:16" ht="12.95" customHeight="1">
      <c r="F42" s="186"/>
      <c r="G42" s="205"/>
      <c r="M42" s="268"/>
    </row>
    <row r="43" spans="1:16" ht="12.95" customHeight="1">
      <c r="F43" s="186"/>
      <c r="G43" s="205"/>
      <c r="M43" s="268"/>
    </row>
    <row r="44" spans="1:16" ht="12.95" customHeight="1">
      <c r="F44" s="186"/>
      <c r="G44" s="205"/>
      <c r="M44" s="268"/>
    </row>
    <row r="45" spans="1:16" ht="12.95" customHeight="1">
      <c r="F45" s="186"/>
      <c r="G45" s="205"/>
      <c r="M45" s="268"/>
    </row>
    <row r="46" spans="1:16" ht="12.95" customHeight="1">
      <c r="F46" s="186"/>
      <c r="G46" s="205"/>
      <c r="M46" s="268"/>
    </row>
    <row r="47" spans="1:16" ht="12.95" customHeight="1">
      <c r="F47" s="186"/>
      <c r="G47" s="205"/>
      <c r="M47" s="268"/>
    </row>
    <row r="48" spans="1:16" ht="12.95" customHeight="1">
      <c r="F48" s="186"/>
      <c r="G48" s="205"/>
      <c r="M48" s="268"/>
    </row>
    <row r="49" spans="6:13" ht="12.95" customHeight="1">
      <c r="F49" s="186"/>
      <c r="G49" s="205"/>
      <c r="M49" s="268"/>
    </row>
    <row r="50" spans="6:13" ht="12.95" customHeight="1">
      <c r="F50" s="186"/>
      <c r="G50" s="205"/>
      <c r="M50" s="268"/>
    </row>
    <row r="51" spans="6:13" ht="12.95" customHeight="1">
      <c r="F51" s="186"/>
      <c r="G51" s="205"/>
      <c r="M51" s="268"/>
    </row>
    <row r="52" spans="6:13" ht="12.95" customHeight="1">
      <c r="F52" s="186"/>
      <c r="G52" s="205"/>
      <c r="M52" s="268"/>
    </row>
    <row r="53" spans="6:13" ht="12.95" customHeight="1">
      <c r="F53" s="186"/>
      <c r="G53" s="205"/>
      <c r="M53" s="268"/>
    </row>
    <row r="54" spans="6:13" ht="12.95" customHeight="1">
      <c r="F54" s="186"/>
      <c r="G54" s="205"/>
      <c r="M54" s="268"/>
    </row>
    <row r="55" spans="6:13" ht="12.95" customHeight="1">
      <c r="F55" s="186"/>
      <c r="G55" s="205"/>
      <c r="M55" s="268"/>
    </row>
    <row r="56" spans="6:13" ht="12.95" customHeight="1">
      <c r="F56" s="186"/>
      <c r="G56" s="205"/>
      <c r="M56" s="268"/>
    </row>
    <row r="57" spans="6:13" ht="12.95" customHeight="1">
      <c r="F57" s="186"/>
      <c r="G57" s="205"/>
      <c r="M57" s="268"/>
    </row>
    <row r="58" spans="6:13" ht="12.95" customHeight="1">
      <c r="F58" s="186"/>
      <c r="G58" s="205"/>
      <c r="M58" s="268"/>
    </row>
    <row r="59" spans="6:13" ht="12.95" customHeight="1">
      <c r="F59" s="186"/>
      <c r="G59" s="205"/>
      <c r="M59" s="268"/>
    </row>
    <row r="60" spans="6:13" ht="12.95" customHeight="1">
      <c r="F60" s="186"/>
      <c r="G60" s="205"/>
      <c r="M60" s="268"/>
    </row>
    <row r="61" spans="6:13" ht="17.100000000000001" customHeight="1">
      <c r="F61" s="186"/>
      <c r="G61" s="205"/>
      <c r="M61" s="268"/>
    </row>
    <row r="62" spans="6:13" ht="14.25">
      <c r="F62" s="186"/>
      <c r="G62" s="205"/>
      <c r="M62" s="268"/>
    </row>
    <row r="63" spans="6:13" ht="14.25">
      <c r="F63" s="186"/>
      <c r="G63" s="205"/>
      <c r="M63" s="268"/>
    </row>
    <row r="64" spans="6:13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205"/>
      <c r="M70" s="268"/>
    </row>
    <row r="71" spans="6:13" ht="14.25">
      <c r="F71" s="186"/>
      <c r="G71" s="205"/>
      <c r="M71" s="268"/>
    </row>
    <row r="72" spans="6:13" ht="14.25">
      <c r="F72" s="186"/>
      <c r="G72" s="205"/>
      <c r="M72" s="268"/>
    </row>
    <row r="73" spans="6:13" ht="14.25">
      <c r="F73" s="186"/>
      <c r="G73" s="205"/>
      <c r="M73" s="268"/>
    </row>
    <row r="74" spans="6:13" ht="14.25">
      <c r="F74" s="186"/>
      <c r="G74" s="205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 ht="14.25">
      <c r="F87" s="186"/>
      <c r="G87" s="186"/>
      <c r="M87" s="268"/>
    </row>
    <row r="88" spans="6:13" ht="14.25">
      <c r="F88" s="186"/>
      <c r="G88" s="186"/>
      <c r="M88" s="268"/>
    </row>
    <row r="89" spans="6:13" ht="14.25">
      <c r="F89" s="186"/>
      <c r="G89" s="186"/>
      <c r="M89" s="268"/>
    </row>
    <row r="90" spans="6:13" ht="14.25">
      <c r="F90" s="186"/>
      <c r="G90" s="186"/>
      <c r="M90" s="268"/>
    </row>
    <row r="91" spans="6:13" ht="14.25">
      <c r="F91" s="186"/>
      <c r="G91" s="186"/>
      <c r="M91" s="268"/>
    </row>
    <row r="92" spans="6:13">
      <c r="G92" s="186"/>
    </row>
    <row r="93" spans="6:13">
      <c r="G93" s="186"/>
    </row>
    <row r="94" spans="6:13">
      <c r="G94" s="186"/>
    </row>
    <row r="95" spans="6:13">
      <c r="G95" s="186"/>
    </row>
    <row r="96" spans="6:13">
      <c r="G96" s="186"/>
    </row>
    <row r="97" spans="7:7">
      <c r="G97" s="186"/>
    </row>
  </sheetData>
  <mergeCells count="13">
    <mergeCell ref="B2:N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N4:N5"/>
    <mergeCell ref="H4:H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R92"/>
  <sheetViews>
    <sheetView workbookViewId="0">
      <selection activeCell="H40" sqref="H40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0" width="14.7109375" style="9" customWidth="1"/>
    <col min="11" max="12" width="14.7109375" style="168" customWidth="1"/>
    <col min="13" max="13" width="15.7109375" style="9" customWidth="1"/>
    <col min="14" max="14" width="7.7109375" style="221" customWidth="1"/>
    <col min="15" max="16384" width="9.140625" style="9"/>
  </cols>
  <sheetData>
    <row r="1" spans="1:16" ht="13.5" thickBot="1"/>
    <row r="2" spans="1:16" s="83" customFormat="1" ht="20.100000000000001" customHeight="1" thickTop="1" thickBot="1">
      <c r="A2" s="252"/>
      <c r="B2" s="876" t="s">
        <v>110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256"/>
      <c r="P2" s="252"/>
    </row>
    <row r="3" spans="1:16" s="1" customFormat="1" ht="8.1" customHeight="1" thickTop="1" thickBot="1">
      <c r="A3" s="165"/>
      <c r="E3" s="165"/>
      <c r="F3" s="2"/>
      <c r="G3" s="166"/>
      <c r="H3" s="879"/>
      <c r="I3" s="879"/>
      <c r="J3" s="145"/>
      <c r="K3" s="78"/>
      <c r="L3" s="78"/>
      <c r="M3" s="78"/>
      <c r="N3" s="215"/>
    </row>
    <row r="4" spans="1:16" s="1" customFormat="1" ht="39" customHeight="1">
      <c r="A4" s="165"/>
      <c r="B4" s="883" t="s">
        <v>77</v>
      </c>
      <c r="C4" s="885" t="s">
        <v>78</v>
      </c>
      <c r="D4" s="887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894</v>
      </c>
      <c r="J4" s="900" t="s">
        <v>796</v>
      </c>
      <c r="K4" s="897" t="s">
        <v>852</v>
      </c>
      <c r="L4" s="881"/>
      <c r="M4" s="882"/>
      <c r="N4" s="894" t="s">
        <v>754</v>
      </c>
    </row>
    <row r="5" spans="1:16" s="165" customFormat="1" ht="27" customHeight="1">
      <c r="B5" s="884"/>
      <c r="C5" s="886"/>
      <c r="D5" s="886"/>
      <c r="E5" s="889"/>
      <c r="F5" s="891"/>
      <c r="G5" s="889"/>
      <c r="H5" s="891"/>
      <c r="I5" s="891"/>
      <c r="J5" s="895"/>
      <c r="K5" s="384" t="s">
        <v>543</v>
      </c>
      <c r="L5" s="250" t="s">
        <v>544</v>
      </c>
      <c r="M5" s="259" t="s">
        <v>331</v>
      </c>
      <c r="N5" s="895"/>
    </row>
    <row r="6" spans="1:16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553">
        <v>9</v>
      </c>
      <c r="K6" s="195">
        <v>11</v>
      </c>
      <c r="L6" s="202">
        <v>12</v>
      </c>
      <c r="M6" s="373" t="s">
        <v>724</v>
      </c>
      <c r="N6" s="359">
        <v>14</v>
      </c>
    </row>
    <row r="7" spans="1:16" s="2" customFormat="1" ht="12.95" customHeight="1">
      <c r="A7" s="166"/>
      <c r="B7" s="6" t="s">
        <v>111</v>
      </c>
      <c r="C7" s="7" t="s">
        <v>80</v>
      </c>
      <c r="D7" s="7" t="s">
        <v>81</v>
      </c>
      <c r="E7" s="459" t="s">
        <v>723</v>
      </c>
      <c r="F7" s="5"/>
      <c r="G7" s="167"/>
      <c r="H7" s="5"/>
      <c r="I7" s="72"/>
      <c r="J7" s="554"/>
      <c r="K7" s="180"/>
      <c r="L7" s="180"/>
      <c r="M7" s="276"/>
      <c r="N7" s="216"/>
    </row>
    <row r="8" spans="1:16" s="2" customFormat="1" ht="12.95" customHeight="1">
      <c r="A8" s="166"/>
      <c r="B8" s="6"/>
      <c r="C8" s="7"/>
      <c r="D8" s="7"/>
      <c r="E8" s="7"/>
      <c r="F8" s="183">
        <v>600000</v>
      </c>
      <c r="G8" s="202"/>
      <c r="H8" s="470" t="s">
        <v>112</v>
      </c>
      <c r="I8" s="408">
        <f t="shared" ref="I8:K8" si="0">I9+I10+I11</f>
        <v>636000</v>
      </c>
      <c r="J8" s="555">
        <f t="shared" ref="J8" si="1">J9+J10+J11</f>
        <v>636000</v>
      </c>
      <c r="K8" s="536">
        <f t="shared" si="0"/>
        <v>445000</v>
      </c>
      <c r="L8" s="159">
        <f>L9+L10+L11</f>
        <v>0</v>
      </c>
      <c r="M8" s="277">
        <f>M9+M10+M11</f>
        <v>445000</v>
      </c>
      <c r="N8" s="217">
        <f t="shared" ref="N8:N50" si="2">IF(J8=0,"",M8/J8*100)</f>
        <v>69.968553459119505</v>
      </c>
    </row>
    <row r="9" spans="1:16" s="2" customFormat="1" ht="12.95" customHeight="1">
      <c r="A9" s="166"/>
      <c r="B9" s="6"/>
      <c r="C9" s="7"/>
      <c r="D9" s="7"/>
      <c r="E9" s="7"/>
      <c r="F9" s="184">
        <v>600000</v>
      </c>
      <c r="G9" s="203"/>
      <c r="H9" s="471" t="s">
        <v>95</v>
      </c>
      <c r="I9" s="243">
        <v>600000</v>
      </c>
      <c r="J9" s="556">
        <v>600000</v>
      </c>
      <c r="K9" s="233">
        <v>400000</v>
      </c>
      <c r="L9" s="158">
        <v>0</v>
      </c>
      <c r="M9" s="278">
        <f t="shared" ref="M9:M11" si="3">SUM(K9:L9)</f>
        <v>400000</v>
      </c>
      <c r="N9" s="218">
        <f t="shared" si="2"/>
        <v>66.666666666666657</v>
      </c>
    </row>
    <row r="10" spans="1:16" s="2" customFormat="1" ht="12.95" customHeight="1">
      <c r="A10" s="166"/>
      <c r="B10" s="6"/>
      <c r="C10" s="7"/>
      <c r="D10" s="7"/>
      <c r="E10" s="7"/>
      <c r="F10" s="184">
        <v>600000</v>
      </c>
      <c r="G10" s="203"/>
      <c r="H10" s="471" t="s">
        <v>96</v>
      </c>
      <c r="I10" s="243">
        <v>24000</v>
      </c>
      <c r="J10" s="556">
        <v>24000</v>
      </c>
      <c r="K10" s="233">
        <v>30000</v>
      </c>
      <c r="L10" s="158">
        <v>0</v>
      </c>
      <c r="M10" s="278">
        <f t="shared" si="3"/>
        <v>30000</v>
      </c>
      <c r="N10" s="218">
        <f t="shared" si="2"/>
        <v>125</v>
      </c>
    </row>
    <row r="11" spans="1:16" s="2" customFormat="1" ht="12.95" customHeight="1">
      <c r="A11" s="166"/>
      <c r="B11" s="6"/>
      <c r="C11" s="7"/>
      <c r="D11" s="7"/>
      <c r="E11" s="7"/>
      <c r="F11" s="184">
        <v>600000</v>
      </c>
      <c r="G11" s="203"/>
      <c r="H11" s="471" t="s">
        <v>113</v>
      </c>
      <c r="I11" s="243">
        <v>12000</v>
      </c>
      <c r="J11" s="556">
        <v>12000</v>
      </c>
      <c r="K11" s="233">
        <v>15000</v>
      </c>
      <c r="L11" s="158">
        <v>0</v>
      </c>
      <c r="M11" s="278">
        <f t="shared" si="3"/>
        <v>15000</v>
      </c>
      <c r="N11" s="218">
        <f t="shared" si="2"/>
        <v>125</v>
      </c>
    </row>
    <row r="12" spans="1:16" s="2" customFormat="1" ht="8.1" customHeight="1">
      <c r="A12" s="166"/>
      <c r="B12" s="6"/>
      <c r="C12" s="7"/>
      <c r="D12" s="7"/>
      <c r="E12" s="7"/>
      <c r="F12" s="183"/>
      <c r="G12" s="203"/>
      <c r="H12" s="397"/>
      <c r="I12" s="244"/>
      <c r="J12" s="557"/>
      <c r="K12" s="231"/>
      <c r="L12" s="160"/>
      <c r="M12" s="279"/>
      <c r="N12" s="218" t="str">
        <f t="shared" si="2"/>
        <v/>
      </c>
    </row>
    <row r="13" spans="1:16" s="1" customFormat="1" ht="12.95" customHeight="1">
      <c r="A13" s="165"/>
      <c r="B13" s="12"/>
      <c r="C13" s="8"/>
      <c r="D13" s="8"/>
      <c r="E13" s="8"/>
      <c r="F13" s="183">
        <v>611000</v>
      </c>
      <c r="G13" s="202"/>
      <c r="H13" s="25" t="s">
        <v>141</v>
      </c>
      <c r="I13" s="244">
        <f t="shared" ref="I13:K13" si="4">SUM(I14:I17)</f>
        <v>232540</v>
      </c>
      <c r="J13" s="557">
        <f t="shared" ref="J13" si="5">SUM(J14:J17)</f>
        <v>232540</v>
      </c>
      <c r="K13" s="234">
        <f t="shared" si="4"/>
        <v>244100</v>
      </c>
      <c r="L13" s="131">
        <f>SUM(L14:L17)</f>
        <v>0</v>
      </c>
      <c r="M13" s="280">
        <f>SUM(M14:M17)</f>
        <v>244100</v>
      </c>
      <c r="N13" s="217">
        <f t="shared" si="2"/>
        <v>104.97118775264471</v>
      </c>
    </row>
    <row r="14" spans="1:16" ht="12.95" customHeight="1">
      <c r="B14" s="10"/>
      <c r="C14" s="11"/>
      <c r="D14" s="11"/>
      <c r="E14" s="170"/>
      <c r="F14" s="184">
        <v>611100</v>
      </c>
      <c r="G14" s="203"/>
      <c r="H14" s="472" t="s">
        <v>167</v>
      </c>
      <c r="I14" s="243">
        <v>160060</v>
      </c>
      <c r="J14" s="556">
        <v>160060</v>
      </c>
      <c r="K14" s="233">
        <f>165250+800</f>
        <v>166050</v>
      </c>
      <c r="L14" s="130">
        <v>0</v>
      </c>
      <c r="M14" s="278">
        <f t="shared" ref="M14:M16" si="6">SUM(K14:L14)</f>
        <v>166050</v>
      </c>
      <c r="N14" s="218">
        <f t="shared" si="2"/>
        <v>103.74234662001749</v>
      </c>
    </row>
    <row r="15" spans="1:16" ht="12.95" customHeight="1">
      <c r="B15" s="10"/>
      <c r="C15" s="11"/>
      <c r="D15" s="11"/>
      <c r="E15" s="170"/>
      <c r="F15" s="184">
        <v>611200</v>
      </c>
      <c r="G15" s="203"/>
      <c r="H15" s="24" t="s">
        <v>168</v>
      </c>
      <c r="I15" s="243">
        <v>27410</v>
      </c>
      <c r="J15" s="556">
        <v>27410</v>
      </c>
      <c r="K15" s="233">
        <f>27550+500</f>
        <v>28050</v>
      </c>
      <c r="L15" s="130">
        <v>0</v>
      </c>
      <c r="M15" s="278">
        <f t="shared" si="6"/>
        <v>28050</v>
      </c>
      <c r="N15" s="218">
        <f t="shared" si="2"/>
        <v>102.33491426486682</v>
      </c>
    </row>
    <row r="16" spans="1:16" ht="12.95" customHeight="1">
      <c r="B16" s="10"/>
      <c r="C16" s="11"/>
      <c r="D16" s="11"/>
      <c r="E16" s="170"/>
      <c r="F16" s="184">
        <v>611200</v>
      </c>
      <c r="G16" s="203" t="s">
        <v>511</v>
      </c>
      <c r="H16" s="482" t="s">
        <v>857</v>
      </c>
      <c r="I16" s="243">
        <v>45070</v>
      </c>
      <c r="J16" s="556">
        <v>45070</v>
      </c>
      <c r="K16" s="233">
        <v>50000</v>
      </c>
      <c r="L16" s="130">
        <v>0</v>
      </c>
      <c r="M16" s="278">
        <f t="shared" si="6"/>
        <v>50000</v>
      </c>
      <c r="N16" s="218">
        <f t="shared" si="2"/>
        <v>110.93854004881297</v>
      </c>
      <c r="P16" s="50"/>
    </row>
    <row r="17" spans="1:15" ht="8.1" customHeight="1">
      <c r="B17" s="10"/>
      <c r="C17" s="11"/>
      <c r="D17" s="11"/>
      <c r="E17" s="170"/>
      <c r="F17" s="184"/>
      <c r="G17" s="203"/>
      <c r="H17" s="472"/>
      <c r="I17" s="244"/>
      <c r="J17" s="557"/>
      <c r="K17" s="234"/>
      <c r="L17" s="131"/>
      <c r="M17" s="280"/>
      <c r="N17" s="218" t="str">
        <f t="shared" si="2"/>
        <v/>
      </c>
    </row>
    <row r="18" spans="1:15" s="1" customFormat="1" ht="12.95" customHeight="1">
      <c r="A18" s="165"/>
      <c r="B18" s="12"/>
      <c r="C18" s="8"/>
      <c r="D18" s="8"/>
      <c r="E18" s="8"/>
      <c r="F18" s="183">
        <v>612000</v>
      </c>
      <c r="G18" s="203"/>
      <c r="H18" s="25" t="s">
        <v>140</v>
      </c>
      <c r="I18" s="244">
        <f t="shared" ref="I18:K18" si="7">I19+I20</f>
        <v>16880</v>
      </c>
      <c r="J18" s="557">
        <f t="shared" ref="J18" si="8">J19+J20</f>
        <v>16880</v>
      </c>
      <c r="K18" s="234">
        <f t="shared" si="7"/>
        <v>17660</v>
      </c>
      <c r="L18" s="131">
        <f>L19+L20</f>
        <v>0</v>
      </c>
      <c r="M18" s="280">
        <f>M19+M20</f>
        <v>17660</v>
      </c>
      <c r="N18" s="217">
        <f t="shared" si="2"/>
        <v>104.62085308056872</v>
      </c>
    </row>
    <row r="19" spans="1:15" ht="12.95" customHeight="1">
      <c r="B19" s="10"/>
      <c r="C19" s="11"/>
      <c r="D19" s="11"/>
      <c r="E19" s="170"/>
      <c r="F19" s="184">
        <v>612100</v>
      </c>
      <c r="G19" s="203"/>
      <c r="H19" s="474" t="s">
        <v>82</v>
      </c>
      <c r="I19" s="243">
        <v>16880</v>
      </c>
      <c r="J19" s="556">
        <v>16880</v>
      </c>
      <c r="K19" s="233">
        <f>17360+300</f>
        <v>17660</v>
      </c>
      <c r="L19" s="130">
        <v>0</v>
      </c>
      <c r="M19" s="278">
        <f>SUM(K19:L19)</f>
        <v>17660</v>
      </c>
      <c r="N19" s="218">
        <f t="shared" si="2"/>
        <v>104.62085308056872</v>
      </c>
    </row>
    <row r="20" spans="1:15" ht="8.1" customHeight="1">
      <c r="B20" s="10"/>
      <c r="C20" s="11"/>
      <c r="D20" s="11"/>
      <c r="E20" s="170"/>
      <c r="F20" s="184"/>
      <c r="G20" s="203"/>
      <c r="H20" s="24"/>
      <c r="I20" s="243"/>
      <c r="J20" s="556"/>
      <c r="K20" s="228"/>
      <c r="L20" s="155"/>
      <c r="M20" s="278"/>
      <c r="N20" s="218" t="str">
        <f t="shared" si="2"/>
        <v/>
      </c>
    </row>
    <row r="21" spans="1:15" s="1" customFormat="1" ht="12.95" customHeight="1">
      <c r="A21" s="165"/>
      <c r="B21" s="12"/>
      <c r="C21" s="8"/>
      <c r="D21" s="8"/>
      <c r="E21" s="8"/>
      <c r="F21" s="183">
        <v>613000</v>
      </c>
      <c r="G21" s="203"/>
      <c r="H21" s="25" t="s">
        <v>142</v>
      </c>
      <c r="I21" s="244">
        <f t="shared" ref="I21:K21" si="9">SUM(I22:I32)</f>
        <v>288010</v>
      </c>
      <c r="J21" s="557">
        <f t="shared" ref="J21" si="10">SUM(J22:J32)</f>
        <v>288010</v>
      </c>
      <c r="K21" s="229">
        <f t="shared" si="9"/>
        <v>319300</v>
      </c>
      <c r="L21" s="156">
        <f t="shared" ref="L21:M21" si="11">SUM(L22:L32)</f>
        <v>0</v>
      </c>
      <c r="M21" s="279">
        <f t="shared" si="11"/>
        <v>319300</v>
      </c>
      <c r="N21" s="217">
        <f t="shared" si="2"/>
        <v>110.86420610395473</v>
      </c>
    </row>
    <row r="22" spans="1:15" ht="12.95" customHeight="1">
      <c r="B22" s="10"/>
      <c r="C22" s="11"/>
      <c r="D22" s="11"/>
      <c r="E22" s="170"/>
      <c r="F22" s="184">
        <v>613100</v>
      </c>
      <c r="G22" s="203"/>
      <c r="H22" s="24" t="s">
        <v>83</v>
      </c>
      <c r="I22" s="243">
        <v>6000</v>
      </c>
      <c r="J22" s="556">
        <v>6000</v>
      </c>
      <c r="K22" s="228">
        <v>7000</v>
      </c>
      <c r="L22" s="155">
        <v>0</v>
      </c>
      <c r="M22" s="278">
        <f t="shared" ref="M22:M32" si="12">SUM(K22:L22)</f>
        <v>7000</v>
      </c>
      <c r="N22" s="218">
        <f t="shared" si="2"/>
        <v>116.66666666666667</v>
      </c>
    </row>
    <row r="23" spans="1:15" ht="12.95" customHeight="1">
      <c r="B23" s="10"/>
      <c r="C23" s="11"/>
      <c r="D23" s="11"/>
      <c r="E23" s="170"/>
      <c r="F23" s="184">
        <v>613200</v>
      </c>
      <c r="G23" s="203"/>
      <c r="H23" s="24" t="s">
        <v>84</v>
      </c>
      <c r="I23" s="243">
        <v>0</v>
      </c>
      <c r="J23" s="556">
        <v>0</v>
      </c>
      <c r="K23" s="228">
        <v>0</v>
      </c>
      <c r="L23" s="155">
        <v>0</v>
      </c>
      <c r="M23" s="278">
        <f t="shared" si="12"/>
        <v>0</v>
      </c>
      <c r="N23" s="218" t="str">
        <f t="shared" si="2"/>
        <v/>
      </c>
    </row>
    <row r="24" spans="1:15" ht="12.95" customHeight="1">
      <c r="B24" s="10"/>
      <c r="C24" s="11"/>
      <c r="D24" s="11"/>
      <c r="E24" s="170"/>
      <c r="F24" s="184">
        <v>613300</v>
      </c>
      <c r="G24" s="203"/>
      <c r="H24" s="472" t="s">
        <v>169</v>
      </c>
      <c r="I24" s="243">
        <v>4100</v>
      </c>
      <c r="J24" s="556">
        <v>4100</v>
      </c>
      <c r="K24" s="228">
        <v>5200</v>
      </c>
      <c r="L24" s="155">
        <v>0</v>
      </c>
      <c r="M24" s="278">
        <f t="shared" si="12"/>
        <v>5200</v>
      </c>
      <c r="N24" s="218">
        <f t="shared" si="2"/>
        <v>126.82926829268293</v>
      </c>
    </row>
    <row r="25" spans="1:15" ht="12.95" customHeight="1">
      <c r="B25" s="10"/>
      <c r="C25" s="11"/>
      <c r="D25" s="11"/>
      <c r="E25" s="170"/>
      <c r="F25" s="184">
        <v>613400</v>
      </c>
      <c r="G25" s="203"/>
      <c r="H25" s="24" t="s">
        <v>143</v>
      </c>
      <c r="I25" s="243">
        <v>0</v>
      </c>
      <c r="J25" s="556">
        <v>0</v>
      </c>
      <c r="K25" s="228">
        <v>1200</v>
      </c>
      <c r="L25" s="155">
        <v>0</v>
      </c>
      <c r="M25" s="278">
        <f t="shared" si="12"/>
        <v>1200</v>
      </c>
      <c r="N25" s="218" t="str">
        <f t="shared" si="2"/>
        <v/>
      </c>
    </row>
    <row r="26" spans="1:15" ht="12.95" customHeight="1">
      <c r="B26" s="10"/>
      <c r="C26" s="11"/>
      <c r="D26" s="11"/>
      <c r="E26" s="170"/>
      <c r="F26" s="184">
        <v>613500</v>
      </c>
      <c r="G26" s="203"/>
      <c r="H26" s="24" t="s">
        <v>85</v>
      </c>
      <c r="I26" s="245">
        <v>400</v>
      </c>
      <c r="J26" s="558">
        <v>400</v>
      </c>
      <c r="K26" s="230">
        <v>1000</v>
      </c>
      <c r="L26" s="157">
        <v>0</v>
      </c>
      <c r="M26" s="278">
        <f t="shared" si="12"/>
        <v>1000</v>
      </c>
      <c r="N26" s="218">
        <f t="shared" si="2"/>
        <v>250</v>
      </c>
    </row>
    <row r="27" spans="1:15" ht="12.95" customHeight="1">
      <c r="B27" s="10"/>
      <c r="C27" s="11"/>
      <c r="D27" s="11"/>
      <c r="E27" s="170"/>
      <c r="F27" s="184">
        <v>613600</v>
      </c>
      <c r="G27" s="203"/>
      <c r="H27" s="472" t="s">
        <v>170</v>
      </c>
      <c r="I27" s="243">
        <v>0</v>
      </c>
      <c r="J27" s="556">
        <v>0</v>
      </c>
      <c r="K27" s="228">
        <v>1200</v>
      </c>
      <c r="L27" s="155">
        <v>0</v>
      </c>
      <c r="M27" s="278">
        <f t="shared" si="12"/>
        <v>1200</v>
      </c>
      <c r="N27" s="218" t="str">
        <f t="shared" si="2"/>
        <v/>
      </c>
    </row>
    <row r="28" spans="1:15" ht="12.95" customHeight="1">
      <c r="B28" s="10"/>
      <c r="C28" s="11"/>
      <c r="D28" s="11"/>
      <c r="E28" s="170"/>
      <c r="F28" s="184">
        <v>613700</v>
      </c>
      <c r="G28" s="203"/>
      <c r="H28" s="24" t="s">
        <v>86</v>
      </c>
      <c r="I28" s="243">
        <v>2000</v>
      </c>
      <c r="J28" s="556">
        <v>2000</v>
      </c>
      <c r="K28" s="228">
        <v>3000</v>
      </c>
      <c r="L28" s="155">
        <v>0</v>
      </c>
      <c r="M28" s="278">
        <f t="shared" si="12"/>
        <v>3000</v>
      </c>
      <c r="N28" s="218">
        <f t="shared" si="2"/>
        <v>150</v>
      </c>
    </row>
    <row r="29" spans="1:15" ht="12.95" customHeight="1">
      <c r="B29" s="10"/>
      <c r="C29" s="11"/>
      <c r="D29" s="11"/>
      <c r="E29" s="170"/>
      <c r="F29" s="184">
        <v>613800</v>
      </c>
      <c r="G29" s="203"/>
      <c r="H29" s="24" t="s">
        <v>144</v>
      </c>
      <c r="I29" s="243">
        <v>800</v>
      </c>
      <c r="J29" s="556">
        <v>800</v>
      </c>
      <c r="K29" s="233">
        <v>500</v>
      </c>
      <c r="L29" s="158">
        <v>0</v>
      </c>
      <c r="M29" s="278">
        <f t="shared" si="12"/>
        <v>500</v>
      </c>
      <c r="N29" s="218">
        <f t="shared" si="2"/>
        <v>62.5</v>
      </c>
    </row>
    <row r="30" spans="1:15" ht="12.95" customHeight="1">
      <c r="B30" s="10"/>
      <c r="C30" s="11"/>
      <c r="D30" s="11"/>
      <c r="E30" s="170"/>
      <c r="F30" s="187">
        <v>613900</v>
      </c>
      <c r="G30" s="203"/>
      <c r="H30" s="475" t="s">
        <v>145</v>
      </c>
      <c r="I30" s="243">
        <v>130000</v>
      </c>
      <c r="J30" s="556">
        <v>130000</v>
      </c>
      <c r="K30" s="233">
        <v>140000</v>
      </c>
      <c r="L30" s="158">
        <v>0</v>
      </c>
      <c r="M30" s="278">
        <f t="shared" si="12"/>
        <v>140000</v>
      </c>
      <c r="N30" s="218">
        <f t="shared" si="2"/>
        <v>107.69230769230769</v>
      </c>
      <c r="O30" s="45"/>
    </row>
    <row r="31" spans="1:15" s="168" customFormat="1" ht="12.95" customHeight="1">
      <c r="B31" s="169"/>
      <c r="C31" s="170"/>
      <c r="D31" s="170"/>
      <c r="E31" s="170"/>
      <c r="F31" s="184">
        <v>613900</v>
      </c>
      <c r="G31" s="203" t="s">
        <v>511</v>
      </c>
      <c r="H31" s="482" t="s">
        <v>858</v>
      </c>
      <c r="I31" s="243">
        <v>47650</v>
      </c>
      <c r="J31" s="556">
        <v>47650</v>
      </c>
      <c r="K31" s="233">
        <v>73200</v>
      </c>
      <c r="L31" s="158">
        <v>0</v>
      </c>
      <c r="M31" s="278">
        <f t="shared" ref="M31" si="13">SUM(K31:L31)</f>
        <v>73200</v>
      </c>
      <c r="N31" s="218">
        <f t="shared" si="2"/>
        <v>153.62014690451207</v>
      </c>
    </row>
    <row r="32" spans="1:15" ht="12.95" customHeight="1">
      <c r="B32" s="10"/>
      <c r="C32" s="11"/>
      <c r="D32" s="11"/>
      <c r="E32" s="170"/>
      <c r="F32" s="184">
        <v>613900</v>
      </c>
      <c r="G32" s="203" t="s">
        <v>785</v>
      </c>
      <c r="H32" s="482" t="s">
        <v>764</v>
      </c>
      <c r="I32" s="243">
        <v>97060</v>
      </c>
      <c r="J32" s="556">
        <v>97060</v>
      </c>
      <c r="K32" s="233">
        <v>87000</v>
      </c>
      <c r="L32" s="158">
        <v>0</v>
      </c>
      <c r="M32" s="278">
        <f t="shared" si="12"/>
        <v>87000</v>
      </c>
      <c r="N32" s="218">
        <f t="shared" si="2"/>
        <v>89.63527714815578</v>
      </c>
    </row>
    <row r="33" spans="1:18" ht="8.1" customHeight="1">
      <c r="B33" s="10"/>
      <c r="C33" s="11"/>
      <c r="D33" s="11"/>
      <c r="E33" s="170"/>
      <c r="F33" s="184"/>
      <c r="G33" s="203"/>
      <c r="H33" s="24"/>
      <c r="I33" s="243"/>
      <c r="J33" s="556"/>
      <c r="K33" s="228"/>
      <c r="L33" s="155"/>
      <c r="M33" s="278"/>
      <c r="N33" s="218" t="str">
        <f t="shared" si="2"/>
        <v/>
      </c>
    </row>
    <row r="34" spans="1:18" s="1" customFormat="1" ht="12.95" customHeight="1">
      <c r="A34" s="165"/>
      <c r="B34" s="12"/>
      <c r="C34" s="8"/>
      <c r="D34" s="8"/>
      <c r="E34" s="8"/>
      <c r="F34" s="183">
        <v>614000</v>
      </c>
      <c r="G34" s="203"/>
      <c r="H34" s="25" t="s">
        <v>171</v>
      </c>
      <c r="I34" s="244">
        <f>SUM(I35:I41)</f>
        <v>720000</v>
      </c>
      <c r="J34" s="557">
        <f>SUM(J35:J41)</f>
        <v>720000</v>
      </c>
      <c r="K34" s="231">
        <f>SUM(K35:K41)</f>
        <v>810000</v>
      </c>
      <c r="L34" s="160">
        <f>SUM(L35:L41)</f>
        <v>0</v>
      </c>
      <c r="M34" s="279">
        <f>SUM(M35:M41)</f>
        <v>810000</v>
      </c>
      <c r="N34" s="217">
        <f t="shared" si="2"/>
        <v>112.5</v>
      </c>
    </row>
    <row r="35" spans="1:18" s="54" customFormat="1" ht="12.95" customHeight="1">
      <c r="B35" s="55"/>
      <c r="C35" s="13"/>
      <c r="D35" s="13"/>
      <c r="E35" s="13"/>
      <c r="F35" s="187">
        <v>614100</v>
      </c>
      <c r="G35" s="203" t="s">
        <v>512</v>
      </c>
      <c r="H35" s="476" t="s">
        <v>205</v>
      </c>
      <c r="I35" s="245">
        <v>300000</v>
      </c>
      <c r="J35" s="558">
        <v>300000</v>
      </c>
      <c r="K35" s="230">
        <v>300000</v>
      </c>
      <c r="L35" s="230">
        <v>0</v>
      </c>
      <c r="M35" s="278">
        <f t="shared" ref="M35:M41" si="14">SUM(K35:L35)</f>
        <v>300000</v>
      </c>
      <c r="N35" s="218">
        <f t="shared" si="2"/>
        <v>100</v>
      </c>
    </row>
    <row r="36" spans="1:18" s="86" customFormat="1" ht="12.95" customHeight="1">
      <c r="B36" s="84"/>
      <c r="C36" s="85"/>
      <c r="D36" s="85"/>
      <c r="E36" s="85"/>
      <c r="F36" s="519">
        <v>614200</v>
      </c>
      <c r="G36" s="203" t="s">
        <v>513</v>
      </c>
      <c r="H36" s="477" t="s">
        <v>499</v>
      </c>
      <c r="I36" s="436">
        <v>150000</v>
      </c>
      <c r="J36" s="559">
        <v>150000</v>
      </c>
      <c r="K36" s="258">
        <v>220000</v>
      </c>
      <c r="L36" s="258">
        <v>0</v>
      </c>
      <c r="M36" s="278">
        <f t="shared" si="14"/>
        <v>220000</v>
      </c>
      <c r="N36" s="218">
        <f t="shared" si="2"/>
        <v>146.66666666666666</v>
      </c>
      <c r="R36" s="87"/>
    </row>
    <row r="37" spans="1:18" ht="12.95" customHeight="1">
      <c r="B37" s="10"/>
      <c r="C37" s="11"/>
      <c r="D37" s="11"/>
      <c r="E37" s="170"/>
      <c r="F37" s="187">
        <v>614300</v>
      </c>
      <c r="G37" s="203" t="s">
        <v>514</v>
      </c>
      <c r="H37" s="603" t="s">
        <v>870</v>
      </c>
      <c r="I37" s="245">
        <v>50000</v>
      </c>
      <c r="J37" s="558">
        <v>50000</v>
      </c>
      <c r="K37" s="232">
        <v>70000</v>
      </c>
      <c r="L37" s="232">
        <v>0</v>
      </c>
      <c r="M37" s="278">
        <f t="shared" si="14"/>
        <v>70000</v>
      </c>
      <c r="N37" s="218">
        <f t="shared" si="2"/>
        <v>140</v>
      </c>
    </row>
    <row r="38" spans="1:18" ht="12.95" customHeight="1">
      <c r="B38" s="10"/>
      <c r="C38" s="11"/>
      <c r="D38" s="11"/>
      <c r="E38" s="170"/>
      <c r="F38" s="187">
        <v>614300</v>
      </c>
      <c r="G38" s="203" t="s">
        <v>515</v>
      </c>
      <c r="H38" s="478" t="s">
        <v>183</v>
      </c>
      <c r="I38" s="245">
        <v>30000</v>
      </c>
      <c r="J38" s="558">
        <v>30000</v>
      </c>
      <c r="K38" s="232">
        <v>30000</v>
      </c>
      <c r="L38" s="232">
        <v>0</v>
      </c>
      <c r="M38" s="278">
        <f t="shared" si="14"/>
        <v>30000</v>
      </c>
      <c r="N38" s="218">
        <f t="shared" si="2"/>
        <v>100</v>
      </c>
    </row>
    <row r="39" spans="1:18" ht="12.95" customHeight="1">
      <c r="B39" s="10"/>
      <c r="C39" s="11"/>
      <c r="D39" s="11"/>
      <c r="E39" s="170"/>
      <c r="F39" s="187">
        <v>614300</v>
      </c>
      <c r="G39" s="203" t="s">
        <v>516</v>
      </c>
      <c r="H39" s="478" t="s">
        <v>185</v>
      </c>
      <c r="I39" s="245">
        <v>35000</v>
      </c>
      <c r="J39" s="558">
        <v>35000</v>
      </c>
      <c r="K39" s="232">
        <v>35000</v>
      </c>
      <c r="L39" s="232">
        <v>0</v>
      </c>
      <c r="M39" s="278">
        <f t="shared" si="14"/>
        <v>35000</v>
      </c>
      <c r="N39" s="218">
        <f t="shared" si="2"/>
        <v>100</v>
      </c>
    </row>
    <row r="40" spans="1:18" ht="12.95" customHeight="1">
      <c r="B40" s="10"/>
      <c r="C40" s="11"/>
      <c r="D40" s="11"/>
      <c r="E40" s="170"/>
      <c r="F40" s="184">
        <v>614300</v>
      </c>
      <c r="G40" s="203" t="s">
        <v>517</v>
      </c>
      <c r="H40" s="478" t="s">
        <v>497</v>
      </c>
      <c r="I40" s="245">
        <v>15000</v>
      </c>
      <c r="J40" s="558">
        <v>15000</v>
      </c>
      <c r="K40" s="232">
        <v>15000</v>
      </c>
      <c r="L40" s="232">
        <v>0</v>
      </c>
      <c r="M40" s="278">
        <f t="shared" si="14"/>
        <v>15000</v>
      </c>
      <c r="N40" s="218">
        <f t="shared" si="2"/>
        <v>100</v>
      </c>
    </row>
    <row r="41" spans="1:18" ht="12.95" customHeight="1">
      <c r="B41" s="10"/>
      <c r="C41" s="11"/>
      <c r="D41" s="11"/>
      <c r="E41" s="170"/>
      <c r="F41" s="184">
        <v>614300</v>
      </c>
      <c r="G41" s="203" t="s">
        <v>794</v>
      </c>
      <c r="H41" s="482" t="s">
        <v>869</v>
      </c>
      <c r="I41" s="245">
        <v>140000</v>
      </c>
      <c r="J41" s="558">
        <v>140000</v>
      </c>
      <c r="K41" s="232">
        <v>140000</v>
      </c>
      <c r="L41" s="232">
        <v>0</v>
      </c>
      <c r="M41" s="278">
        <f t="shared" si="14"/>
        <v>140000</v>
      </c>
      <c r="N41" s="218">
        <f t="shared" si="2"/>
        <v>100</v>
      </c>
    </row>
    <row r="42" spans="1:18" ht="8.1" customHeight="1">
      <c r="B42" s="10"/>
      <c r="C42" s="11"/>
      <c r="D42" s="11"/>
      <c r="E42" s="170"/>
      <c r="F42" s="184"/>
      <c r="G42" s="203"/>
      <c r="H42" s="478"/>
      <c r="I42" s="245"/>
      <c r="J42" s="558"/>
      <c r="K42" s="232"/>
      <c r="L42" s="161"/>
      <c r="M42" s="278"/>
      <c r="N42" s="218" t="str">
        <f t="shared" si="2"/>
        <v/>
      </c>
    </row>
    <row r="43" spans="1:18" ht="12.95" customHeight="1">
      <c r="B43" s="10"/>
      <c r="C43" s="11"/>
      <c r="D43" s="11"/>
      <c r="E43" s="170"/>
      <c r="F43" s="183">
        <v>615000</v>
      </c>
      <c r="G43" s="203"/>
      <c r="H43" s="25" t="s">
        <v>88</v>
      </c>
      <c r="I43" s="244">
        <f t="shared" ref="I43:K43" si="15">I44</f>
        <v>400000</v>
      </c>
      <c r="J43" s="557">
        <f t="shared" si="15"/>
        <v>400000</v>
      </c>
      <c r="K43" s="231">
        <f t="shared" si="15"/>
        <v>300000</v>
      </c>
      <c r="L43" s="160">
        <f>L44</f>
        <v>0</v>
      </c>
      <c r="M43" s="279">
        <f>M44</f>
        <v>300000</v>
      </c>
      <c r="N43" s="217">
        <f t="shared" si="2"/>
        <v>75</v>
      </c>
    </row>
    <row r="44" spans="1:18" ht="12.95" customHeight="1">
      <c r="B44" s="10"/>
      <c r="C44" s="11"/>
      <c r="D44" s="11"/>
      <c r="E44" s="170"/>
      <c r="F44" s="184">
        <v>615100</v>
      </c>
      <c r="G44" s="203"/>
      <c r="H44" s="474" t="s">
        <v>918</v>
      </c>
      <c r="I44" s="245">
        <v>400000</v>
      </c>
      <c r="J44" s="558">
        <v>400000</v>
      </c>
      <c r="K44" s="230">
        <v>300000</v>
      </c>
      <c r="L44" s="157">
        <v>0</v>
      </c>
      <c r="M44" s="278">
        <f>SUM(K44:L44)</f>
        <v>300000</v>
      </c>
      <c r="N44" s="218">
        <f t="shared" si="2"/>
        <v>75</v>
      </c>
    </row>
    <row r="45" spans="1:18" ht="8.1" customHeight="1">
      <c r="B45" s="10"/>
      <c r="C45" s="11"/>
      <c r="D45" s="11"/>
      <c r="E45" s="170"/>
      <c r="F45" s="184"/>
      <c r="G45" s="203"/>
      <c r="H45" s="475"/>
      <c r="I45" s="243"/>
      <c r="J45" s="556"/>
      <c r="K45" s="233"/>
      <c r="L45" s="158"/>
      <c r="M45" s="278"/>
      <c r="N45" s="218" t="str">
        <f t="shared" si="2"/>
        <v/>
      </c>
    </row>
    <row r="46" spans="1:18" ht="12.95" customHeight="1">
      <c r="B46" s="12"/>
      <c r="C46" s="8"/>
      <c r="D46" s="8"/>
      <c r="E46" s="8"/>
      <c r="F46" s="183">
        <v>821000</v>
      </c>
      <c r="G46" s="203"/>
      <c r="H46" s="25" t="s">
        <v>89</v>
      </c>
      <c r="I46" s="244">
        <f t="shared" ref="I46:K46" si="16">SUM(I47:I49)</f>
        <v>10230</v>
      </c>
      <c r="J46" s="557">
        <f t="shared" ref="J46" si="17">SUM(J47:J49)</f>
        <v>10230</v>
      </c>
      <c r="K46" s="231">
        <f t="shared" si="16"/>
        <v>100000</v>
      </c>
      <c r="L46" s="172">
        <f>SUM(L47:L49)</f>
        <v>0</v>
      </c>
      <c r="M46" s="264">
        <f>SUM(M47:M49)</f>
        <v>100000</v>
      </c>
      <c r="N46" s="217">
        <f t="shared" si="2"/>
        <v>977.5171065493646</v>
      </c>
    </row>
    <row r="47" spans="1:18" ht="12.95" customHeight="1">
      <c r="B47" s="10"/>
      <c r="C47" s="11"/>
      <c r="D47" s="11"/>
      <c r="E47" s="170"/>
      <c r="F47" s="184">
        <v>821200</v>
      </c>
      <c r="G47" s="203"/>
      <c r="H47" s="24" t="s">
        <v>90</v>
      </c>
      <c r="I47" s="243">
        <v>4230</v>
      </c>
      <c r="J47" s="556">
        <v>4230</v>
      </c>
      <c r="K47" s="233">
        <v>70000</v>
      </c>
      <c r="L47" s="164">
        <v>0</v>
      </c>
      <c r="M47" s="278">
        <f t="shared" ref="M47:M49" si="18">SUM(K47:L47)</f>
        <v>70000</v>
      </c>
      <c r="N47" s="218">
        <f t="shared" si="2"/>
        <v>1654.8463356973998</v>
      </c>
    </row>
    <row r="48" spans="1:18" ht="12.95" customHeight="1">
      <c r="B48" s="10"/>
      <c r="C48" s="11"/>
      <c r="D48" s="11"/>
      <c r="E48" s="170"/>
      <c r="F48" s="184">
        <v>821300</v>
      </c>
      <c r="G48" s="203"/>
      <c r="H48" s="24" t="s">
        <v>91</v>
      </c>
      <c r="I48" s="245">
        <v>6000</v>
      </c>
      <c r="J48" s="558">
        <v>6000</v>
      </c>
      <c r="K48" s="232">
        <f>10000+20000</f>
        <v>30000</v>
      </c>
      <c r="L48" s="178">
        <v>0</v>
      </c>
      <c r="M48" s="278">
        <f t="shared" si="18"/>
        <v>30000</v>
      </c>
      <c r="N48" s="218">
        <f t="shared" si="2"/>
        <v>500</v>
      </c>
    </row>
    <row r="49" spans="1:14" ht="12.95" customHeight="1">
      <c r="B49" s="10"/>
      <c r="C49" s="11"/>
      <c r="D49" s="11"/>
      <c r="E49" s="170"/>
      <c r="F49" s="184">
        <v>821500</v>
      </c>
      <c r="G49" s="203"/>
      <c r="H49" s="24" t="s">
        <v>438</v>
      </c>
      <c r="I49" s="238">
        <v>0</v>
      </c>
      <c r="J49" s="382">
        <v>0</v>
      </c>
      <c r="K49" s="537">
        <v>0</v>
      </c>
      <c r="L49" s="74">
        <v>0</v>
      </c>
      <c r="M49" s="278">
        <f t="shared" si="18"/>
        <v>0</v>
      </c>
      <c r="N49" s="218" t="str">
        <f t="shared" si="2"/>
        <v/>
      </c>
    </row>
    <row r="50" spans="1:14" s="1" customFormat="1" ht="8.1" customHeight="1">
      <c r="A50" s="165"/>
      <c r="B50" s="10"/>
      <c r="C50" s="11"/>
      <c r="D50" s="11"/>
      <c r="E50" s="170"/>
      <c r="F50" s="184"/>
      <c r="G50" s="203"/>
      <c r="H50" s="24"/>
      <c r="I50" s="240"/>
      <c r="J50" s="560"/>
      <c r="K50" s="231"/>
      <c r="L50" s="172"/>
      <c r="M50" s="264"/>
      <c r="N50" s="218" t="str">
        <f t="shared" si="2"/>
        <v/>
      </c>
    </row>
    <row r="51" spans="1:14" ht="12.95" customHeight="1">
      <c r="B51" s="12"/>
      <c r="C51" s="8"/>
      <c r="D51" s="8"/>
      <c r="E51" s="8"/>
      <c r="F51" s="183"/>
      <c r="G51" s="203"/>
      <c r="H51" s="25" t="s">
        <v>92</v>
      </c>
      <c r="I51" s="240">
        <v>7</v>
      </c>
      <c r="J51" s="560">
        <v>7</v>
      </c>
      <c r="K51" s="231">
        <v>7</v>
      </c>
      <c r="L51" s="172"/>
      <c r="M51" s="264">
        <v>7</v>
      </c>
      <c r="N51" s="218"/>
    </row>
    <row r="52" spans="1:14" ht="12.95" customHeight="1">
      <c r="B52" s="12"/>
      <c r="C52" s="8"/>
      <c r="D52" s="8"/>
      <c r="E52" s="8"/>
      <c r="F52" s="183"/>
      <c r="G52" s="203"/>
      <c r="H52" s="25" t="s">
        <v>106</v>
      </c>
      <c r="I52" s="172">
        <f>I8+I13+I18+I21+I34+I43+I46</f>
        <v>2303660</v>
      </c>
      <c r="J52" s="387">
        <f>J8+J13+J18+J21+J34+J43+J46</f>
        <v>2303660</v>
      </c>
      <c r="K52" s="160">
        <f>K8+K13+K18+K21+K34+K43+K46</f>
        <v>2236060</v>
      </c>
      <c r="L52" s="172">
        <f>L8+L13+L18+L21+L34+L43+L46</f>
        <v>0</v>
      </c>
      <c r="M52" s="264">
        <f>M8+M13+M18+M21+M34+M43+M46</f>
        <v>2236060</v>
      </c>
      <c r="N52" s="217">
        <f>IF(J52=0,"",M52/J52*100)</f>
        <v>97.065539185470072</v>
      </c>
    </row>
    <row r="53" spans="1:14" ht="12.95" customHeight="1">
      <c r="B53" s="12"/>
      <c r="C53" s="8"/>
      <c r="D53" s="8"/>
      <c r="E53" s="8"/>
      <c r="F53" s="183"/>
      <c r="G53" s="203"/>
      <c r="H53" s="8" t="s">
        <v>93</v>
      </c>
      <c r="I53" s="11"/>
      <c r="J53" s="561"/>
      <c r="K53" s="385"/>
      <c r="L53" s="170"/>
      <c r="M53" s="274"/>
      <c r="N53" s="219"/>
    </row>
    <row r="54" spans="1:14" ht="12.95" customHeight="1">
      <c r="B54" s="12"/>
      <c r="C54" s="8"/>
      <c r="D54" s="8"/>
      <c r="E54" s="8"/>
      <c r="F54" s="183"/>
      <c r="G54" s="203"/>
      <c r="H54" s="8" t="s">
        <v>94</v>
      </c>
      <c r="I54" s="11"/>
      <c r="J54" s="561"/>
      <c r="K54" s="385"/>
      <c r="L54" s="170"/>
      <c r="M54" s="274"/>
      <c r="N54" s="219"/>
    </row>
    <row r="55" spans="1:14" s="1" customFormat="1" ht="8.1" customHeight="1" thickBot="1">
      <c r="A55" s="165"/>
      <c r="B55" s="16"/>
      <c r="C55" s="17"/>
      <c r="D55" s="17"/>
      <c r="E55" s="17"/>
      <c r="F55" s="185"/>
      <c r="G55" s="204"/>
      <c r="H55" s="17"/>
      <c r="I55" s="17"/>
      <c r="J55" s="562"/>
      <c r="K55" s="386"/>
      <c r="L55" s="17"/>
      <c r="M55" s="271"/>
      <c r="N55" s="220"/>
    </row>
    <row r="56" spans="1:14" s="1" customFormat="1" ht="15.95" customHeight="1">
      <c r="A56" s="165"/>
      <c r="B56" s="9"/>
      <c r="C56" s="9"/>
      <c r="D56" s="9"/>
      <c r="E56" s="168"/>
      <c r="F56" s="186"/>
      <c r="G56" s="205"/>
      <c r="H56" s="9"/>
      <c r="I56" s="9"/>
      <c r="J56" s="9"/>
      <c r="K56" s="168"/>
      <c r="L56" s="168"/>
      <c r="M56" s="268"/>
      <c r="N56" s="221"/>
    </row>
    <row r="57" spans="1:14" s="1" customFormat="1" ht="15.95" customHeight="1">
      <c r="A57" s="165"/>
      <c r="B57" s="9"/>
      <c r="C57" s="9"/>
      <c r="D57" s="9"/>
      <c r="E57" s="168"/>
      <c r="F57" s="186"/>
      <c r="G57" s="205"/>
      <c r="H57" s="9"/>
      <c r="I57" s="9"/>
      <c r="J57" s="9"/>
      <c r="K57" s="441"/>
      <c r="L57" s="168"/>
      <c r="M57" s="268"/>
      <c r="N57" s="221"/>
    </row>
    <row r="58" spans="1:14" s="1" customFormat="1" ht="12.95" customHeight="1">
      <c r="A58" s="165"/>
      <c r="B58" s="9"/>
      <c r="C58" s="9"/>
      <c r="D58" s="9"/>
      <c r="E58" s="168"/>
      <c r="F58" s="186"/>
      <c r="G58" s="205"/>
      <c r="H58" s="9"/>
      <c r="I58" s="9"/>
      <c r="J58" s="9"/>
      <c r="K58" s="168"/>
      <c r="L58" s="168"/>
      <c r="M58" s="268"/>
      <c r="N58" s="221"/>
    </row>
    <row r="59" spans="1:14" ht="12.95" customHeight="1">
      <c r="F59" s="186"/>
      <c r="G59" s="205"/>
      <c r="M59" s="268"/>
    </row>
    <row r="60" spans="1:14" ht="14.25">
      <c r="F60" s="186"/>
      <c r="G60" s="205"/>
      <c r="M60" s="268"/>
    </row>
    <row r="61" spans="1:14" ht="14.25">
      <c r="F61" s="186"/>
      <c r="G61" s="205"/>
      <c r="M61" s="268"/>
    </row>
    <row r="62" spans="1:14" ht="14.25">
      <c r="F62" s="186"/>
      <c r="G62" s="205"/>
      <c r="M62" s="268"/>
    </row>
    <row r="63" spans="1:14" ht="14.25">
      <c r="F63" s="186"/>
      <c r="G63" s="205"/>
      <c r="M63" s="268"/>
    </row>
    <row r="64" spans="1:14" ht="14.25">
      <c r="F64" s="186"/>
      <c r="G64" s="205"/>
      <c r="M64" s="268"/>
    </row>
    <row r="65" spans="6:13" ht="14.25">
      <c r="F65" s="186"/>
      <c r="G65" s="205"/>
      <c r="M65" s="268"/>
    </row>
    <row r="66" spans="6:13" ht="14.25">
      <c r="F66" s="186"/>
      <c r="G66" s="205"/>
      <c r="M66" s="268"/>
    </row>
    <row r="67" spans="6:13" ht="14.25">
      <c r="F67" s="186"/>
      <c r="G67" s="205"/>
      <c r="M67" s="268"/>
    </row>
    <row r="68" spans="6:13" ht="14.25">
      <c r="F68" s="186"/>
      <c r="G68" s="205"/>
      <c r="M68" s="268"/>
    </row>
    <row r="69" spans="6:13" ht="14.25">
      <c r="F69" s="186"/>
      <c r="G69" s="205"/>
      <c r="M69" s="268"/>
    </row>
    <row r="70" spans="6:13" ht="14.25">
      <c r="F70" s="186"/>
      <c r="G70" s="186"/>
      <c r="M70" s="268"/>
    </row>
    <row r="71" spans="6:13" ht="14.25">
      <c r="F71" s="186"/>
      <c r="G71" s="186"/>
      <c r="M71" s="268"/>
    </row>
    <row r="72" spans="6:13" ht="14.25">
      <c r="F72" s="186"/>
      <c r="G72" s="186"/>
      <c r="M72" s="268"/>
    </row>
    <row r="73" spans="6:13" ht="14.25">
      <c r="F73" s="186"/>
      <c r="G73" s="186"/>
      <c r="M73" s="268"/>
    </row>
    <row r="74" spans="6:13" ht="14.25">
      <c r="F74" s="186"/>
      <c r="G74" s="186"/>
      <c r="M74" s="268"/>
    </row>
    <row r="75" spans="6:13" ht="14.25">
      <c r="F75" s="186"/>
      <c r="G75" s="186"/>
      <c r="M75" s="268"/>
    </row>
    <row r="76" spans="6:13" ht="14.25">
      <c r="F76" s="186"/>
      <c r="G76" s="186"/>
      <c r="M76" s="268"/>
    </row>
    <row r="77" spans="6:13" ht="14.25">
      <c r="F77" s="186"/>
      <c r="G77" s="186"/>
      <c r="M77" s="268"/>
    </row>
    <row r="78" spans="6:13" ht="14.25">
      <c r="F78" s="186"/>
      <c r="G78" s="186"/>
      <c r="M78" s="268"/>
    </row>
    <row r="79" spans="6:13" ht="14.25">
      <c r="F79" s="186"/>
      <c r="G79" s="186"/>
      <c r="M79" s="268"/>
    </row>
    <row r="80" spans="6:13" ht="14.25">
      <c r="F80" s="186"/>
      <c r="G80" s="186"/>
      <c r="M80" s="268"/>
    </row>
    <row r="81" spans="6:13" ht="14.25">
      <c r="F81" s="186"/>
      <c r="G81" s="186"/>
      <c r="M81" s="268"/>
    </row>
    <row r="82" spans="6:13" ht="14.25">
      <c r="F82" s="186"/>
      <c r="G82" s="186"/>
      <c r="M82" s="268"/>
    </row>
    <row r="83" spans="6:13" ht="14.25">
      <c r="F83" s="186"/>
      <c r="G83" s="186"/>
      <c r="M83" s="268"/>
    </row>
    <row r="84" spans="6:13" ht="14.25">
      <c r="F84" s="186"/>
      <c r="G84" s="186"/>
      <c r="M84" s="268"/>
    </row>
    <row r="85" spans="6:13" ht="14.25">
      <c r="F85" s="186"/>
      <c r="G85" s="186"/>
      <c r="M85" s="268"/>
    </row>
    <row r="86" spans="6:13" ht="14.25">
      <c r="F86" s="186"/>
      <c r="G86" s="186"/>
      <c r="M86" s="268"/>
    </row>
    <row r="87" spans="6:13">
      <c r="G87" s="186"/>
    </row>
    <row r="88" spans="6:13">
      <c r="G88" s="186"/>
    </row>
    <row r="89" spans="6:13">
      <c r="G89" s="186"/>
    </row>
    <row r="90" spans="6:13">
      <c r="G90" s="186"/>
    </row>
    <row r="91" spans="6:13">
      <c r="G91" s="186"/>
    </row>
    <row r="92" spans="6:13">
      <c r="G92" s="186"/>
    </row>
  </sheetData>
  <mergeCells count="13">
    <mergeCell ref="N4:N5"/>
    <mergeCell ref="H4:H5"/>
    <mergeCell ref="B2:M2"/>
    <mergeCell ref="H3:I3"/>
    <mergeCell ref="K4:M4"/>
    <mergeCell ref="B4:B5"/>
    <mergeCell ref="C4:C5"/>
    <mergeCell ref="D4:D5"/>
    <mergeCell ref="G4:G5"/>
    <mergeCell ref="F4:F5"/>
    <mergeCell ref="I4:I5"/>
    <mergeCell ref="J4:J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R96"/>
  <sheetViews>
    <sheetView workbookViewId="0">
      <selection activeCell="Q22" sqref="Q22"/>
    </sheetView>
  </sheetViews>
  <sheetFormatPr defaultColWidth="9.140625" defaultRowHeight="12.75"/>
  <cols>
    <col min="1" max="1" width="9.140625" style="168"/>
    <col min="2" max="2" width="4.7109375" style="9" customWidth="1"/>
    <col min="3" max="3" width="5.140625" style="9" customWidth="1"/>
    <col min="4" max="4" width="5" style="9" customWidth="1"/>
    <col min="5" max="5" width="5" style="168" customWidth="1"/>
    <col min="6" max="6" width="8.7109375" style="18" customWidth="1"/>
    <col min="7" max="7" width="8.7109375" style="173" customWidth="1"/>
    <col min="8" max="8" width="50.7109375" style="9" customWidth="1"/>
    <col min="9" max="11" width="14.7109375" style="9" customWidth="1"/>
    <col min="12" max="13" width="14.7109375" style="168" customWidth="1"/>
    <col min="14" max="14" width="15.7109375" style="9" customWidth="1"/>
    <col min="15" max="15" width="7.7109375" style="221" customWidth="1"/>
    <col min="16" max="16384" width="9.140625" style="9"/>
  </cols>
  <sheetData>
    <row r="1" spans="1:18" ht="13.5" thickBot="1"/>
    <row r="2" spans="1:18" s="252" customFormat="1" ht="20.100000000000001" customHeight="1" thickTop="1" thickBot="1">
      <c r="B2" s="876" t="s">
        <v>690</v>
      </c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877"/>
      <c r="O2" s="256"/>
    </row>
    <row r="3" spans="1:18" s="1" customFormat="1" ht="8.1" customHeight="1" thickTop="1" thickBot="1">
      <c r="A3" s="165"/>
      <c r="E3" s="165"/>
      <c r="F3" s="2"/>
      <c r="G3" s="166"/>
      <c r="H3" s="879"/>
      <c r="I3" s="879"/>
      <c r="J3" s="145"/>
      <c r="K3" s="145"/>
      <c r="L3" s="78"/>
      <c r="M3" s="78"/>
      <c r="N3" s="78"/>
      <c r="O3" s="215"/>
    </row>
    <row r="4" spans="1:18" s="1" customFormat="1" ht="39" customHeight="1">
      <c r="A4" s="165"/>
      <c r="B4" s="883" t="s">
        <v>77</v>
      </c>
      <c r="C4" s="903" t="s">
        <v>78</v>
      </c>
      <c r="D4" s="904" t="s">
        <v>103</v>
      </c>
      <c r="E4" s="901" t="s">
        <v>722</v>
      </c>
      <c r="F4" s="898" t="s">
        <v>480</v>
      </c>
      <c r="G4" s="888" t="s">
        <v>510</v>
      </c>
      <c r="H4" s="890" t="s">
        <v>79</v>
      </c>
      <c r="I4" s="899" t="s">
        <v>752</v>
      </c>
      <c r="J4" s="905" t="s">
        <v>753</v>
      </c>
      <c r="K4" s="906" t="s">
        <v>750</v>
      </c>
      <c r="L4" s="902" t="s">
        <v>751</v>
      </c>
      <c r="M4" s="881"/>
      <c r="N4" s="882"/>
      <c r="O4" s="894" t="s">
        <v>754</v>
      </c>
      <c r="Q4" s="61"/>
    </row>
    <row r="5" spans="1:18" s="165" customFormat="1" ht="27" customHeight="1">
      <c r="B5" s="884"/>
      <c r="C5" s="889"/>
      <c r="D5" s="889"/>
      <c r="E5" s="889"/>
      <c r="F5" s="891"/>
      <c r="G5" s="889"/>
      <c r="H5" s="891"/>
      <c r="I5" s="891"/>
      <c r="J5" s="891"/>
      <c r="K5" s="907"/>
      <c r="L5" s="404" t="s">
        <v>543</v>
      </c>
      <c r="M5" s="250" t="s">
        <v>544</v>
      </c>
      <c r="N5" s="259" t="s">
        <v>331</v>
      </c>
      <c r="O5" s="895"/>
    </row>
    <row r="6" spans="1:18" s="2" customFormat="1" ht="12.95" customHeight="1">
      <c r="A6" s="166"/>
      <c r="B6" s="357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2">
        <v>8</v>
      </c>
      <c r="J6" s="202">
        <v>9</v>
      </c>
      <c r="K6" s="358">
        <v>10</v>
      </c>
      <c r="L6" s="357">
        <v>11</v>
      </c>
      <c r="M6" s="202">
        <v>12</v>
      </c>
      <c r="N6" s="373" t="s">
        <v>724</v>
      </c>
      <c r="O6" s="359">
        <v>14</v>
      </c>
    </row>
    <row r="7" spans="1:18" s="2" customFormat="1" ht="12.95" customHeight="1">
      <c r="A7" s="166"/>
      <c r="B7" s="6" t="s">
        <v>111</v>
      </c>
      <c r="C7" s="7" t="s">
        <v>80</v>
      </c>
      <c r="D7" s="7" t="s">
        <v>109</v>
      </c>
      <c r="E7" s="459" t="s">
        <v>723</v>
      </c>
      <c r="F7" s="5"/>
      <c r="G7" s="167"/>
      <c r="H7" s="5"/>
      <c r="I7" s="5"/>
      <c r="J7" s="5"/>
      <c r="K7" s="397"/>
      <c r="L7" s="4"/>
      <c r="M7" s="167"/>
      <c r="N7" s="260"/>
      <c r="O7" s="216"/>
    </row>
    <row r="8" spans="1:18" s="1" customFormat="1" ht="12.95" customHeight="1">
      <c r="A8" s="165"/>
      <c r="B8" s="12"/>
      <c r="C8" s="8"/>
      <c r="D8" s="8"/>
      <c r="E8" s="8"/>
      <c r="F8" s="183">
        <v>611000</v>
      </c>
      <c r="G8" s="202"/>
      <c r="H8" s="8" t="s">
        <v>141</v>
      </c>
      <c r="I8" s="235">
        <f t="shared" ref="I8:J8" si="0">SUM(I9:I12)</f>
        <v>0</v>
      </c>
      <c r="J8" s="234">
        <f t="shared" si="0"/>
        <v>0</v>
      </c>
      <c r="K8" s="383">
        <v>0</v>
      </c>
      <c r="L8" s="234">
        <f t="shared" ref="L8" si="1">SUM(L9:L12)</f>
        <v>0</v>
      </c>
      <c r="M8" s="129">
        <f>SUM(M9:M12)</f>
        <v>0</v>
      </c>
      <c r="N8" s="261">
        <f>SUM(N9:N12)</f>
        <v>0</v>
      </c>
      <c r="O8" s="217" t="str">
        <f>IF(J8=0,"",N8/J8*100)</f>
        <v/>
      </c>
    </row>
    <row r="9" spans="1:18" ht="12.95" customHeight="1">
      <c r="B9" s="10"/>
      <c r="C9" s="11"/>
      <c r="D9" s="11"/>
      <c r="E9" s="170"/>
      <c r="F9" s="184">
        <v>611100</v>
      </c>
      <c r="G9" s="203"/>
      <c r="H9" s="20" t="s">
        <v>167</v>
      </c>
      <c r="I9" s="238">
        <v>0</v>
      </c>
      <c r="J9" s="233">
        <v>0</v>
      </c>
      <c r="K9" s="382">
        <v>0</v>
      </c>
      <c r="L9" s="233">
        <v>0</v>
      </c>
      <c r="M9" s="128">
        <v>0</v>
      </c>
      <c r="N9" s="262">
        <f>SUM(L9:M9)</f>
        <v>0</v>
      </c>
      <c r="O9" s="218" t="str">
        <f>IF(J9=0,"",N9/J9*100)</f>
        <v/>
      </c>
    </row>
    <row r="10" spans="1:18" ht="12.95" customHeight="1">
      <c r="B10" s="10"/>
      <c r="C10" s="11"/>
      <c r="D10" s="11"/>
      <c r="E10" s="170"/>
      <c r="F10" s="184">
        <v>611200</v>
      </c>
      <c r="G10" s="203"/>
      <c r="H10" s="11" t="s">
        <v>168</v>
      </c>
      <c r="I10" s="238">
        <v>0</v>
      </c>
      <c r="J10" s="233">
        <v>0</v>
      </c>
      <c r="K10" s="382">
        <v>0</v>
      </c>
      <c r="L10" s="233">
        <v>0</v>
      </c>
      <c r="M10" s="128">
        <v>0</v>
      </c>
      <c r="N10" s="262">
        <f t="shared" ref="N10:N11" si="2">SUM(L10:M10)</f>
        <v>0</v>
      </c>
      <c r="O10" s="218" t="str">
        <f t="shared" ref="O10:O33" si="3">IF(J10=0,"",N10/J10*100)</f>
        <v/>
      </c>
    </row>
    <row r="11" spans="1:18" ht="12.95" customHeight="1">
      <c r="B11" s="10"/>
      <c r="C11" s="11"/>
      <c r="D11" s="11"/>
      <c r="E11" s="170"/>
      <c r="F11" s="184">
        <v>611200</v>
      </c>
      <c r="G11" s="203"/>
      <c r="H11" s="124" t="s">
        <v>446</v>
      </c>
      <c r="I11" s="238">
        <f t="shared" ref="I11" si="4">SUM(G11:H11)</f>
        <v>0</v>
      </c>
      <c r="J11" s="233">
        <v>0</v>
      </c>
      <c r="K11" s="382">
        <v>0</v>
      </c>
      <c r="L11" s="233">
        <v>0</v>
      </c>
      <c r="M11" s="128">
        <v>0</v>
      </c>
      <c r="N11" s="262">
        <f t="shared" si="2"/>
        <v>0</v>
      </c>
      <c r="O11" s="218" t="str">
        <f t="shared" si="3"/>
        <v/>
      </c>
      <c r="Q11" s="50"/>
    </row>
    <row r="12" spans="1:18" ht="8.1" customHeight="1">
      <c r="B12" s="10"/>
      <c r="C12" s="11"/>
      <c r="D12" s="11"/>
      <c r="E12" s="170"/>
      <c r="F12" s="184"/>
      <c r="G12" s="203"/>
      <c r="H12" s="20"/>
      <c r="I12" s="238"/>
      <c r="J12" s="233"/>
      <c r="K12" s="382"/>
      <c r="L12" s="233"/>
      <c r="M12" s="128"/>
      <c r="N12" s="262"/>
      <c r="O12" s="218" t="str">
        <f t="shared" si="3"/>
        <v/>
      </c>
    </row>
    <row r="13" spans="1:18" s="1" customFormat="1" ht="12.95" customHeight="1">
      <c r="A13" s="165"/>
      <c r="B13" s="12"/>
      <c r="C13" s="8"/>
      <c r="D13" s="8"/>
      <c r="E13" s="8"/>
      <c r="F13" s="183">
        <v>612000</v>
      </c>
      <c r="G13" s="202"/>
      <c r="H13" s="8" t="s">
        <v>140</v>
      </c>
      <c r="I13" s="235">
        <f t="shared" ref="I13:L13" si="5">I14</f>
        <v>0</v>
      </c>
      <c r="J13" s="234">
        <f t="shared" si="5"/>
        <v>0</v>
      </c>
      <c r="K13" s="383">
        <v>0</v>
      </c>
      <c r="L13" s="234">
        <f t="shared" si="5"/>
        <v>0</v>
      </c>
      <c r="M13" s="129">
        <f>M14</f>
        <v>0</v>
      </c>
      <c r="N13" s="261">
        <f>N14</f>
        <v>0</v>
      </c>
      <c r="O13" s="217" t="str">
        <f t="shared" si="3"/>
        <v/>
      </c>
      <c r="R13" s="54"/>
    </row>
    <row r="14" spans="1:18" ht="12.95" customHeight="1">
      <c r="B14" s="10"/>
      <c r="C14" s="11"/>
      <c r="D14" s="11"/>
      <c r="E14" s="170"/>
      <c r="F14" s="184">
        <v>612100</v>
      </c>
      <c r="G14" s="203"/>
      <c r="H14" s="13" t="s">
        <v>82</v>
      </c>
      <c r="I14" s="238">
        <v>0</v>
      </c>
      <c r="J14" s="233">
        <v>0</v>
      </c>
      <c r="K14" s="382">
        <v>0</v>
      </c>
      <c r="L14" s="233">
        <v>0</v>
      </c>
      <c r="M14" s="128">
        <v>0</v>
      </c>
      <c r="N14" s="262">
        <f>SUM(L14:M14)</f>
        <v>0</v>
      </c>
      <c r="O14" s="218" t="str">
        <f t="shared" si="3"/>
        <v/>
      </c>
      <c r="R14" s="45"/>
    </row>
    <row r="15" spans="1:18" ht="8.1" customHeight="1">
      <c r="B15" s="10"/>
      <c r="C15" s="11"/>
      <c r="D15" s="11"/>
      <c r="E15" s="170"/>
      <c r="F15" s="184"/>
      <c r="G15" s="203"/>
      <c r="H15" s="11"/>
      <c r="I15" s="238"/>
      <c r="J15" s="228"/>
      <c r="K15" s="382"/>
      <c r="L15" s="228"/>
      <c r="M15" s="163"/>
      <c r="N15" s="263"/>
      <c r="O15" s="218" t="str">
        <f t="shared" si="3"/>
        <v/>
      </c>
    </row>
    <row r="16" spans="1:18" s="1" customFormat="1" ht="12.95" customHeight="1">
      <c r="A16" s="165"/>
      <c r="B16" s="12"/>
      <c r="C16" s="8"/>
      <c r="D16" s="8"/>
      <c r="E16" s="8"/>
      <c r="F16" s="183">
        <v>613000</v>
      </c>
      <c r="G16" s="202"/>
      <c r="H16" s="8" t="s">
        <v>142</v>
      </c>
      <c r="I16" s="235">
        <f t="shared" ref="I16:J16" si="6">SUM(I17:I26)</f>
        <v>0</v>
      </c>
      <c r="J16" s="229">
        <f t="shared" si="6"/>
        <v>0</v>
      </c>
      <c r="K16" s="383">
        <v>0</v>
      </c>
      <c r="L16" s="229">
        <f t="shared" ref="L16" si="7">SUM(L17:L26)</f>
        <v>0</v>
      </c>
      <c r="M16" s="176">
        <f>SUM(M17:M26)</f>
        <v>0</v>
      </c>
      <c r="N16" s="264">
        <f>SUM(N17:N26)</f>
        <v>0</v>
      </c>
      <c r="O16" s="217" t="str">
        <f t="shared" si="3"/>
        <v/>
      </c>
    </row>
    <row r="17" spans="1:16" ht="12.95" customHeight="1">
      <c r="B17" s="10"/>
      <c r="C17" s="11"/>
      <c r="D17" s="11"/>
      <c r="E17" s="170"/>
      <c r="F17" s="184">
        <v>613100</v>
      </c>
      <c r="G17" s="203"/>
      <c r="H17" s="11" t="s">
        <v>83</v>
      </c>
      <c r="I17" s="238">
        <v>0</v>
      </c>
      <c r="J17" s="228">
        <v>0</v>
      </c>
      <c r="K17" s="382">
        <v>0</v>
      </c>
      <c r="L17" s="228">
        <v>0</v>
      </c>
      <c r="M17" s="239">
        <v>0</v>
      </c>
      <c r="N17" s="262">
        <f t="shared" ref="N17:N26" si="8">SUM(L17:M17)</f>
        <v>0</v>
      </c>
      <c r="O17" s="218" t="str">
        <f t="shared" si="3"/>
        <v/>
      </c>
    </row>
    <row r="18" spans="1:16" ht="12.95" customHeight="1">
      <c r="B18" s="10"/>
      <c r="C18" s="11"/>
      <c r="D18" s="11"/>
      <c r="E18" s="170"/>
      <c r="F18" s="184">
        <v>613200</v>
      </c>
      <c r="G18" s="203"/>
      <c r="H18" s="11" t="s">
        <v>84</v>
      </c>
      <c r="I18" s="238">
        <f t="shared" ref="I18:I26" si="9">SUM(G18:H18)</f>
        <v>0</v>
      </c>
      <c r="J18" s="228">
        <v>0</v>
      </c>
      <c r="K18" s="382">
        <v>0</v>
      </c>
      <c r="L18" s="228">
        <v>0</v>
      </c>
      <c r="M18" s="239">
        <v>0</v>
      </c>
      <c r="N18" s="262">
        <f t="shared" si="8"/>
        <v>0</v>
      </c>
      <c r="O18" s="218" t="str">
        <f t="shared" si="3"/>
        <v/>
      </c>
    </row>
    <row r="19" spans="1:16" ht="12.95" customHeight="1">
      <c r="B19" s="10"/>
      <c r="C19" s="11"/>
      <c r="D19" s="11"/>
      <c r="E19" s="170"/>
      <c r="F19" s="184">
        <v>613300</v>
      </c>
      <c r="G19" s="203"/>
      <c r="H19" s="20" t="s">
        <v>169</v>
      </c>
      <c r="I19" s="238">
        <v>0</v>
      </c>
      <c r="J19" s="228">
        <v>0</v>
      </c>
      <c r="K19" s="382">
        <v>0</v>
      </c>
      <c r="L19" s="228">
        <v>0</v>
      </c>
      <c r="M19" s="239">
        <v>0</v>
      </c>
      <c r="N19" s="262">
        <f t="shared" si="8"/>
        <v>0</v>
      </c>
      <c r="O19" s="218" t="str">
        <f t="shared" si="3"/>
        <v/>
      </c>
    </row>
    <row r="20" spans="1:16" ht="12.95" customHeight="1">
      <c r="B20" s="10"/>
      <c r="C20" s="11"/>
      <c r="D20" s="11"/>
      <c r="E20" s="170"/>
      <c r="F20" s="184">
        <v>613400</v>
      </c>
      <c r="G20" s="203"/>
      <c r="H20" s="11" t="s">
        <v>143</v>
      </c>
      <c r="I20" s="238">
        <f t="shared" si="9"/>
        <v>0</v>
      </c>
      <c r="J20" s="228">
        <v>0</v>
      </c>
      <c r="K20" s="382">
        <v>0</v>
      </c>
      <c r="L20" s="228">
        <v>0</v>
      </c>
      <c r="M20" s="239">
        <v>0</v>
      </c>
      <c r="N20" s="262">
        <f t="shared" si="8"/>
        <v>0</v>
      </c>
      <c r="O20" s="218" t="str">
        <f t="shared" si="3"/>
        <v/>
      </c>
    </row>
    <row r="21" spans="1:16" ht="12.95" customHeight="1">
      <c r="B21" s="10"/>
      <c r="C21" s="11"/>
      <c r="D21" s="11"/>
      <c r="E21" s="170"/>
      <c r="F21" s="184">
        <v>613500</v>
      </c>
      <c r="G21" s="203"/>
      <c r="H21" s="11" t="s">
        <v>85</v>
      </c>
      <c r="I21" s="238">
        <f t="shared" si="9"/>
        <v>0</v>
      </c>
      <c r="J21" s="228">
        <v>0</v>
      </c>
      <c r="K21" s="382">
        <v>0</v>
      </c>
      <c r="L21" s="228">
        <v>0</v>
      </c>
      <c r="M21" s="239">
        <v>0</v>
      </c>
      <c r="N21" s="262">
        <f t="shared" si="8"/>
        <v>0</v>
      </c>
      <c r="O21" s="218" t="str">
        <f t="shared" si="3"/>
        <v/>
      </c>
    </row>
    <row r="22" spans="1:16" ht="12.95" customHeight="1">
      <c r="B22" s="10"/>
      <c r="C22" s="11"/>
      <c r="D22" s="11"/>
      <c r="E22" s="170"/>
      <c r="F22" s="184">
        <v>613600</v>
      </c>
      <c r="G22" s="203"/>
      <c r="H22" s="20" t="s">
        <v>170</v>
      </c>
      <c r="I22" s="238">
        <f t="shared" si="9"/>
        <v>0</v>
      </c>
      <c r="J22" s="228">
        <v>0</v>
      </c>
      <c r="K22" s="382">
        <v>0</v>
      </c>
      <c r="L22" s="228">
        <v>0</v>
      </c>
      <c r="M22" s="239">
        <v>0</v>
      </c>
      <c r="N22" s="262">
        <f t="shared" si="8"/>
        <v>0</v>
      </c>
      <c r="O22" s="218" t="str">
        <f t="shared" si="3"/>
        <v/>
      </c>
    </row>
    <row r="23" spans="1:16" ht="12.95" customHeight="1">
      <c r="B23" s="10"/>
      <c r="C23" s="11"/>
      <c r="D23" s="11"/>
      <c r="E23" s="170"/>
      <c r="F23" s="184">
        <v>613700</v>
      </c>
      <c r="G23" s="203"/>
      <c r="H23" s="11" t="s">
        <v>86</v>
      </c>
      <c r="I23" s="238">
        <v>0</v>
      </c>
      <c r="J23" s="228">
        <v>0</v>
      </c>
      <c r="K23" s="382">
        <v>0</v>
      </c>
      <c r="L23" s="228">
        <v>0</v>
      </c>
      <c r="M23" s="239">
        <v>0</v>
      </c>
      <c r="N23" s="262">
        <f t="shared" si="8"/>
        <v>0</v>
      </c>
      <c r="O23" s="218" t="str">
        <f t="shared" si="3"/>
        <v/>
      </c>
    </row>
    <row r="24" spans="1:16" ht="12.95" customHeight="1">
      <c r="B24" s="10"/>
      <c r="C24" s="11"/>
      <c r="D24" s="11"/>
      <c r="E24" s="170"/>
      <c r="F24" s="184">
        <v>613800</v>
      </c>
      <c r="G24" s="203"/>
      <c r="H24" s="11" t="s">
        <v>144</v>
      </c>
      <c r="I24" s="238">
        <f t="shared" si="9"/>
        <v>0</v>
      </c>
      <c r="J24" s="228">
        <v>0</v>
      </c>
      <c r="K24" s="382">
        <v>0</v>
      </c>
      <c r="L24" s="228">
        <v>0</v>
      </c>
      <c r="M24" s="239">
        <v>0</v>
      </c>
      <c r="N24" s="262">
        <f t="shared" si="8"/>
        <v>0</v>
      </c>
      <c r="O24" s="218" t="str">
        <f t="shared" si="3"/>
        <v/>
      </c>
      <c r="P24" s="45"/>
    </row>
    <row r="25" spans="1:16" ht="12.95" customHeight="1">
      <c r="B25" s="10"/>
      <c r="C25" s="11"/>
      <c r="D25" s="11"/>
      <c r="E25" s="170"/>
      <c r="F25" s="184">
        <v>613900</v>
      </c>
      <c r="G25" s="203"/>
      <c r="H25" s="11" t="s">
        <v>145</v>
      </c>
      <c r="I25" s="238">
        <v>0</v>
      </c>
      <c r="J25" s="233">
        <v>0</v>
      </c>
      <c r="K25" s="382">
        <v>0</v>
      </c>
      <c r="L25" s="233">
        <v>0</v>
      </c>
      <c r="M25" s="243">
        <v>0</v>
      </c>
      <c r="N25" s="262">
        <f t="shared" si="8"/>
        <v>0</v>
      </c>
      <c r="O25" s="218" t="str">
        <f t="shared" si="3"/>
        <v/>
      </c>
    </row>
    <row r="26" spans="1:16" ht="12.95" customHeight="1">
      <c r="B26" s="10"/>
      <c r="C26" s="11"/>
      <c r="D26" s="11"/>
      <c r="E26" s="170"/>
      <c r="F26" s="184">
        <v>613900</v>
      </c>
      <c r="G26" s="203"/>
      <c r="H26" s="124" t="s">
        <v>447</v>
      </c>
      <c r="I26" s="238">
        <f t="shared" si="9"/>
        <v>0</v>
      </c>
      <c r="J26" s="228">
        <v>0</v>
      </c>
      <c r="K26" s="382">
        <v>0</v>
      </c>
      <c r="L26" s="228">
        <v>0</v>
      </c>
      <c r="M26" s="239">
        <v>0</v>
      </c>
      <c r="N26" s="262">
        <f t="shared" si="8"/>
        <v>0</v>
      </c>
      <c r="O26" s="218" t="str">
        <f t="shared" si="3"/>
        <v/>
      </c>
    </row>
    <row r="27" spans="1:16" ht="8.1" customHeight="1">
      <c r="B27" s="10"/>
      <c r="C27" s="11"/>
      <c r="D27" s="11"/>
      <c r="E27" s="170"/>
      <c r="F27" s="184"/>
      <c r="G27" s="203"/>
      <c r="H27" s="11"/>
      <c r="I27" s="235"/>
      <c r="J27" s="231"/>
      <c r="K27" s="383"/>
      <c r="L27" s="231"/>
      <c r="M27" s="172"/>
      <c r="N27" s="264"/>
      <c r="O27" s="218" t="str">
        <f t="shared" si="3"/>
        <v/>
      </c>
    </row>
    <row r="28" spans="1:16" s="1" customFormat="1" ht="12.95" customHeight="1">
      <c r="A28" s="165"/>
      <c r="B28" s="12"/>
      <c r="C28" s="8"/>
      <c r="D28" s="8"/>
      <c r="E28" s="458"/>
      <c r="F28" s="194">
        <v>614000</v>
      </c>
      <c r="G28" s="214"/>
      <c r="H28" s="8" t="s">
        <v>171</v>
      </c>
      <c r="I28" s="235">
        <f t="shared" ref="I28:N28" si="10">SUM(I29:I29)</f>
        <v>0</v>
      </c>
      <c r="J28" s="231">
        <f t="shared" si="10"/>
        <v>0</v>
      </c>
      <c r="K28" s="383">
        <f t="shared" si="10"/>
        <v>0</v>
      </c>
      <c r="L28" s="231">
        <f t="shared" si="10"/>
        <v>0</v>
      </c>
      <c r="M28" s="172">
        <f t="shared" si="10"/>
        <v>0</v>
      </c>
      <c r="N28" s="264">
        <f t="shared" si="10"/>
        <v>0</v>
      </c>
      <c r="O28" s="217" t="str">
        <f t="shared" si="3"/>
        <v/>
      </c>
    </row>
    <row r="29" spans="1:16" ht="12.95" customHeight="1">
      <c r="B29" s="10"/>
      <c r="C29" s="11"/>
      <c r="D29" s="24"/>
      <c r="E29" s="24"/>
      <c r="F29" s="225">
        <v>614200</v>
      </c>
      <c r="G29" s="211" t="s">
        <v>518</v>
      </c>
      <c r="H29" s="38" t="s">
        <v>97</v>
      </c>
      <c r="I29" s="238">
        <v>0</v>
      </c>
      <c r="J29" s="233">
        <v>0</v>
      </c>
      <c r="K29" s="382">
        <v>0</v>
      </c>
      <c r="L29" s="233">
        <v>0</v>
      </c>
      <c r="M29" s="164">
        <v>0</v>
      </c>
      <c r="N29" s="262">
        <f>SUM(L29:M29)</f>
        <v>0</v>
      </c>
      <c r="O29" s="218" t="str">
        <f t="shared" si="3"/>
        <v/>
      </c>
    </row>
    <row r="30" spans="1:16" ht="8.1" customHeight="1">
      <c r="B30" s="10"/>
      <c r="C30" s="11"/>
      <c r="D30" s="11"/>
      <c r="E30" s="454"/>
      <c r="F30" s="192"/>
      <c r="G30" s="210"/>
      <c r="H30" s="11"/>
      <c r="I30" s="238"/>
      <c r="J30" s="228"/>
      <c r="K30" s="382"/>
      <c r="L30" s="228"/>
      <c r="M30" s="163"/>
      <c r="N30" s="263"/>
      <c r="O30" s="218" t="str">
        <f t="shared" si="3"/>
        <v/>
      </c>
    </row>
    <row r="31" spans="1:16" s="1" customFormat="1" ht="12.95" customHeight="1">
      <c r="A31" s="165"/>
      <c r="B31" s="12"/>
      <c r="C31" s="8"/>
      <c r="D31" s="8"/>
      <c r="E31" s="8"/>
      <c r="F31" s="183">
        <v>821000</v>
      </c>
      <c r="G31" s="202"/>
      <c r="H31" s="8" t="s">
        <v>89</v>
      </c>
      <c r="I31" s="235">
        <f t="shared" ref="I31:J31" si="11">SUM(I32:I33)</f>
        <v>0</v>
      </c>
      <c r="J31" s="231">
        <f t="shared" si="11"/>
        <v>0</v>
      </c>
      <c r="K31" s="383">
        <v>0</v>
      </c>
      <c r="L31" s="231">
        <f t="shared" ref="L31" si="12">SUM(L32:L33)</f>
        <v>0</v>
      </c>
      <c r="M31" s="172">
        <f>SUM(M32:M33)</f>
        <v>0</v>
      </c>
      <c r="N31" s="264">
        <f>SUM(N32:N33)</f>
        <v>0</v>
      </c>
      <c r="O31" s="217" t="str">
        <f t="shared" si="3"/>
        <v/>
      </c>
    </row>
    <row r="32" spans="1:16" ht="12.95" customHeight="1">
      <c r="B32" s="10"/>
      <c r="C32" s="11"/>
      <c r="D32" s="11"/>
      <c r="E32" s="170"/>
      <c r="F32" s="184">
        <v>821200</v>
      </c>
      <c r="G32" s="203"/>
      <c r="H32" s="11" t="s">
        <v>90</v>
      </c>
      <c r="I32" s="238">
        <f t="shared" ref="I32" si="13">SUM(G32:H32)</f>
        <v>0</v>
      </c>
      <c r="J32" s="233">
        <v>0</v>
      </c>
      <c r="K32" s="382">
        <v>0</v>
      </c>
      <c r="L32" s="233">
        <v>0</v>
      </c>
      <c r="M32" s="164">
        <v>0</v>
      </c>
      <c r="N32" s="262">
        <f t="shared" ref="N32:N33" si="14">SUM(L32:M32)</f>
        <v>0</v>
      </c>
      <c r="O32" s="218" t="str">
        <f t="shared" si="3"/>
        <v/>
      </c>
    </row>
    <row r="33" spans="1:15" ht="12.95" customHeight="1">
      <c r="B33" s="10"/>
      <c r="C33" s="11"/>
      <c r="D33" s="11"/>
      <c r="E33" s="170"/>
      <c r="F33" s="184">
        <v>821300</v>
      </c>
      <c r="G33" s="203"/>
      <c r="H33" s="11" t="s">
        <v>91</v>
      </c>
      <c r="I33" s="238">
        <v>0</v>
      </c>
      <c r="J33" s="228">
        <v>0</v>
      </c>
      <c r="K33" s="382">
        <v>0</v>
      </c>
      <c r="L33" s="228">
        <v>0</v>
      </c>
      <c r="M33" s="163">
        <v>0</v>
      </c>
      <c r="N33" s="262">
        <f t="shared" si="14"/>
        <v>0</v>
      </c>
      <c r="O33" s="218" t="str">
        <f t="shared" si="3"/>
        <v/>
      </c>
    </row>
    <row r="34" spans="1:15" ht="8.1" customHeight="1">
      <c r="B34" s="10"/>
      <c r="C34" s="11"/>
      <c r="D34" s="11"/>
      <c r="E34" s="170"/>
      <c r="F34" s="184"/>
      <c r="G34" s="203"/>
      <c r="H34" s="11"/>
      <c r="I34" s="238"/>
      <c r="J34" s="228"/>
      <c r="K34" s="382"/>
      <c r="L34" s="228"/>
      <c r="M34" s="163"/>
      <c r="N34" s="263"/>
      <c r="O34" s="218" t="str">
        <f>IF(J34=0,"",N34/J34*100)</f>
        <v/>
      </c>
    </row>
    <row r="35" spans="1:15" s="1" customFormat="1" ht="12.95" customHeight="1">
      <c r="A35" s="165"/>
      <c r="B35" s="12"/>
      <c r="C35" s="8"/>
      <c r="D35" s="8"/>
      <c r="E35" s="8"/>
      <c r="F35" s="183"/>
      <c r="G35" s="202"/>
      <c r="H35" s="8" t="s">
        <v>92</v>
      </c>
      <c r="I35" s="235">
        <v>0</v>
      </c>
      <c r="J35" s="234">
        <v>0</v>
      </c>
      <c r="K35" s="383">
        <v>0</v>
      </c>
      <c r="L35" s="234">
        <v>0</v>
      </c>
      <c r="M35" s="177"/>
      <c r="N35" s="264">
        <v>0</v>
      </c>
      <c r="O35" s="218"/>
    </row>
    <row r="36" spans="1:15" s="1" customFormat="1" ht="12.95" customHeight="1">
      <c r="A36" s="165"/>
      <c r="B36" s="12"/>
      <c r="C36" s="8"/>
      <c r="D36" s="8"/>
      <c r="E36" s="8"/>
      <c r="F36" s="183"/>
      <c r="G36" s="202"/>
      <c r="H36" s="8" t="s">
        <v>106</v>
      </c>
      <c r="I36" s="15">
        <f t="shared" ref="I36:N36" si="15">I31+I28+I16+I13+I8</f>
        <v>0</v>
      </c>
      <c r="J36" s="15">
        <f t="shared" si="15"/>
        <v>0</v>
      </c>
      <c r="K36" s="387">
        <v>0</v>
      </c>
      <c r="L36" s="160">
        <f t="shared" si="15"/>
        <v>0</v>
      </c>
      <c r="M36" s="172">
        <f t="shared" si="15"/>
        <v>0</v>
      </c>
      <c r="N36" s="264">
        <f t="shared" si="15"/>
        <v>0</v>
      </c>
      <c r="O36" s="217" t="str">
        <f>IF(J36=0,"",N36/J36*100)</f>
        <v/>
      </c>
    </row>
    <row r="37" spans="1:15" s="1" customFormat="1" ht="12.95" customHeight="1">
      <c r="A37" s="165"/>
      <c r="B37" s="12"/>
      <c r="C37" s="8"/>
      <c r="D37" s="8"/>
      <c r="E37" s="8"/>
      <c r="F37" s="183"/>
      <c r="G37" s="202"/>
      <c r="H37" s="8" t="s">
        <v>93</v>
      </c>
      <c r="I37" s="15"/>
      <c r="J37" s="15"/>
      <c r="K37" s="387"/>
      <c r="L37" s="160"/>
      <c r="M37" s="172"/>
      <c r="N37" s="264"/>
      <c r="O37" s="224"/>
    </row>
    <row r="38" spans="1:15" s="1" customFormat="1" ht="12.95" customHeight="1">
      <c r="A38" s="165"/>
      <c r="B38" s="12"/>
      <c r="C38" s="8"/>
      <c r="D38" s="8"/>
      <c r="E38" s="8"/>
      <c r="F38" s="183"/>
      <c r="G38" s="202"/>
      <c r="H38" s="8" t="s">
        <v>94</v>
      </c>
      <c r="I38" s="29"/>
      <c r="J38" s="29"/>
      <c r="K38" s="438"/>
      <c r="L38" s="155"/>
      <c r="M38" s="163"/>
      <c r="N38" s="263"/>
      <c r="O38" s="219"/>
    </row>
    <row r="39" spans="1:15" ht="8.1" customHeight="1" thickBot="1">
      <c r="B39" s="16"/>
      <c r="C39" s="17"/>
      <c r="D39" s="17"/>
      <c r="E39" s="17"/>
      <c r="F39" s="185"/>
      <c r="G39" s="204"/>
      <c r="H39" s="17"/>
      <c r="I39" s="17"/>
      <c r="J39" s="17"/>
      <c r="K39" s="27"/>
      <c r="L39" s="16"/>
      <c r="M39" s="17"/>
      <c r="N39" s="271"/>
      <c r="O39" s="220"/>
    </row>
    <row r="40" spans="1:15" ht="12.95" customHeight="1">
      <c r="F40" s="186"/>
      <c r="G40" s="205"/>
      <c r="N40" s="268"/>
    </row>
    <row r="41" spans="1:15" ht="12.95" customHeight="1">
      <c r="B41" s="45"/>
      <c r="F41" s="186"/>
      <c r="G41" s="205"/>
      <c r="N41" s="268"/>
    </row>
    <row r="42" spans="1:15" ht="12.95" customHeight="1">
      <c r="F42" s="186"/>
      <c r="G42" s="205"/>
      <c r="N42" s="268"/>
    </row>
    <row r="43" spans="1:15" ht="12.95" customHeight="1">
      <c r="F43" s="186"/>
      <c r="G43" s="205"/>
      <c r="N43" s="268"/>
    </row>
    <row r="44" spans="1:15" ht="12.95" customHeight="1">
      <c r="F44" s="186"/>
      <c r="G44" s="205"/>
      <c r="N44" s="268"/>
    </row>
    <row r="45" spans="1:15" ht="12.95" customHeight="1">
      <c r="F45" s="186"/>
      <c r="G45" s="205"/>
      <c r="N45" s="268"/>
    </row>
    <row r="46" spans="1:15" ht="12.95" customHeight="1">
      <c r="F46" s="186"/>
      <c r="G46" s="205"/>
      <c r="N46" s="268"/>
    </row>
    <row r="47" spans="1:15" ht="12.95" customHeight="1">
      <c r="F47" s="186"/>
      <c r="G47" s="205"/>
      <c r="N47" s="268"/>
    </row>
    <row r="48" spans="1:15" ht="12.95" customHeight="1">
      <c r="F48" s="186"/>
      <c r="G48" s="205"/>
      <c r="N48" s="268"/>
    </row>
    <row r="49" spans="6:14" ht="12.95" customHeight="1">
      <c r="F49" s="186"/>
      <c r="G49" s="205"/>
      <c r="N49" s="268"/>
    </row>
    <row r="50" spans="6:14" ht="12.95" customHeight="1">
      <c r="F50" s="186"/>
      <c r="G50" s="205"/>
      <c r="N50" s="268"/>
    </row>
    <row r="51" spans="6:14" ht="12.95" customHeight="1">
      <c r="F51" s="186"/>
      <c r="G51" s="205"/>
      <c r="N51" s="268"/>
    </row>
    <row r="52" spans="6:14" ht="12.95" customHeight="1">
      <c r="F52" s="186"/>
      <c r="G52" s="205"/>
      <c r="N52" s="268"/>
    </row>
    <row r="53" spans="6:14" ht="12.95" customHeight="1">
      <c r="F53" s="186"/>
      <c r="G53" s="205"/>
      <c r="N53" s="268"/>
    </row>
    <row r="54" spans="6:14" ht="12.95" customHeight="1">
      <c r="F54" s="186"/>
      <c r="G54" s="205"/>
      <c r="N54" s="268"/>
    </row>
    <row r="55" spans="6:14" ht="12.95" customHeight="1">
      <c r="F55" s="186"/>
      <c r="G55" s="205"/>
      <c r="N55" s="268"/>
    </row>
    <row r="56" spans="6:14" ht="12.95" customHeight="1">
      <c r="F56" s="186"/>
      <c r="G56" s="205"/>
      <c r="N56" s="268"/>
    </row>
    <row r="57" spans="6:14" ht="12.95" customHeight="1">
      <c r="F57" s="186"/>
      <c r="G57" s="205"/>
      <c r="N57" s="268"/>
    </row>
    <row r="58" spans="6:14" ht="12.95" customHeight="1">
      <c r="F58" s="186"/>
      <c r="G58" s="205"/>
      <c r="N58" s="268"/>
    </row>
    <row r="59" spans="6:14" ht="12.95" customHeight="1">
      <c r="F59" s="186"/>
      <c r="G59" s="205"/>
      <c r="N59" s="268"/>
    </row>
    <row r="60" spans="6:14" ht="17.100000000000001" customHeight="1">
      <c r="F60" s="186"/>
      <c r="G60" s="205"/>
      <c r="N60" s="268"/>
    </row>
    <row r="61" spans="6:14" ht="14.25">
      <c r="F61" s="186"/>
      <c r="G61" s="205"/>
      <c r="N61" s="268"/>
    </row>
    <row r="62" spans="6:14" ht="14.25">
      <c r="F62" s="186"/>
      <c r="G62" s="205"/>
      <c r="N62" s="268"/>
    </row>
    <row r="63" spans="6:14" ht="14.25">
      <c r="F63" s="186"/>
      <c r="G63" s="205"/>
      <c r="N63" s="268"/>
    </row>
    <row r="64" spans="6:14" ht="14.25">
      <c r="F64" s="186"/>
      <c r="G64" s="205"/>
      <c r="N64" s="268"/>
    </row>
    <row r="65" spans="6:14" ht="14.25">
      <c r="F65" s="186"/>
      <c r="G65" s="205"/>
      <c r="N65" s="268"/>
    </row>
    <row r="66" spans="6:14" ht="14.25">
      <c r="F66" s="186"/>
      <c r="G66" s="205"/>
      <c r="N66" s="268"/>
    </row>
    <row r="67" spans="6:14" ht="14.25">
      <c r="F67" s="186"/>
      <c r="G67" s="205"/>
      <c r="N67" s="268"/>
    </row>
    <row r="68" spans="6:14" ht="14.25">
      <c r="F68" s="186"/>
      <c r="G68" s="205"/>
      <c r="N68" s="268"/>
    </row>
    <row r="69" spans="6:14" ht="14.25">
      <c r="F69" s="186"/>
      <c r="G69" s="205"/>
      <c r="N69" s="268"/>
    </row>
    <row r="70" spans="6:14" ht="14.25">
      <c r="F70" s="186"/>
      <c r="G70" s="205"/>
      <c r="N70" s="268"/>
    </row>
    <row r="71" spans="6:14" ht="14.25">
      <c r="F71" s="186"/>
      <c r="G71" s="205"/>
      <c r="N71" s="268"/>
    </row>
    <row r="72" spans="6:14" ht="14.25">
      <c r="F72" s="186"/>
      <c r="G72" s="205"/>
      <c r="N72" s="268"/>
    </row>
    <row r="73" spans="6:14" ht="14.25">
      <c r="F73" s="186"/>
      <c r="G73" s="205"/>
      <c r="N73" s="268"/>
    </row>
    <row r="74" spans="6:14" ht="14.25">
      <c r="F74" s="186"/>
      <c r="G74" s="186"/>
      <c r="N74" s="268"/>
    </row>
    <row r="75" spans="6:14" ht="14.25">
      <c r="F75" s="186"/>
      <c r="G75" s="186"/>
      <c r="N75" s="268"/>
    </row>
    <row r="76" spans="6:14" ht="14.25">
      <c r="F76" s="186"/>
      <c r="G76" s="186"/>
      <c r="N76" s="268"/>
    </row>
    <row r="77" spans="6:14" ht="14.25">
      <c r="F77" s="186"/>
      <c r="G77" s="186"/>
      <c r="N77" s="268"/>
    </row>
    <row r="78" spans="6:14" ht="14.25">
      <c r="F78" s="186"/>
      <c r="G78" s="186"/>
      <c r="N78" s="268"/>
    </row>
    <row r="79" spans="6:14" ht="14.25">
      <c r="F79" s="186"/>
      <c r="G79" s="186"/>
      <c r="N79" s="268"/>
    </row>
    <row r="80" spans="6:14" ht="14.25">
      <c r="F80" s="186"/>
      <c r="G80" s="186"/>
      <c r="N80" s="268"/>
    </row>
    <row r="81" spans="6:14" ht="14.25">
      <c r="F81" s="186"/>
      <c r="G81" s="186"/>
      <c r="N81" s="268"/>
    </row>
    <row r="82" spans="6:14" ht="14.25">
      <c r="F82" s="186"/>
      <c r="G82" s="186"/>
      <c r="N82" s="268"/>
    </row>
    <row r="83" spans="6:14" ht="14.25">
      <c r="F83" s="186"/>
      <c r="G83" s="186"/>
      <c r="N83" s="268"/>
    </row>
    <row r="84" spans="6:14" ht="14.25">
      <c r="F84" s="186"/>
      <c r="G84" s="186"/>
      <c r="N84" s="268"/>
    </row>
    <row r="85" spans="6:14" ht="14.25">
      <c r="F85" s="186"/>
      <c r="G85" s="186"/>
      <c r="N85" s="268"/>
    </row>
    <row r="86" spans="6:14" ht="14.25">
      <c r="F86" s="186"/>
      <c r="G86" s="186"/>
      <c r="N86" s="268"/>
    </row>
    <row r="87" spans="6:14" ht="14.25">
      <c r="F87" s="186"/>
      <c r="G87" s="186"/>
      <c r="N87" s="268"/>
    </row>
    <row r="88" spans="6:14" ht="14.25">
      <c r="F88" s="186"/>
      <c r="G88" s="186"/>
      <c r="N88" s="268"/>
    </row>
    <row r="89" spans="6:14" ht="14.25">
      <c r="F89" s="186"/>
      <c r="G89" s="186"/>
      <c r="N89" s="268"/>
    </row>
    <row r="90" spans="6:14" ht="14.25">
      <c r="F90" s="186"/>
      <c r="G90" s="186"/>
      <c r="N90" s="268"/>
    </row>
    <row r="91" spans="6:14">
      <c r="G91" s="186"/>
    </row>
    <row r="92" spans="6:14">
      <c r="G92" s="186"/>
    </row>
    <row r="93" spans="6:14">
      <c r="G93" s="186"/>
    </row>
    <row r="94" spans="6:14">
      <c r="G94" s="186"/>
    </row>
    <row r="95" spans="6:14">
      <c r="G95" s="186"/>
    </row>
    <row r="96" spans="6:14">
      <c r="G96" s="186"/>
    </row>
  </sheetData>
  <mergeCells count="14">
    <mergeCell ref="O4:O5"/>
    <mergeCell ref="H4:H5"/>
    <mergeCell ref="B2:N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K4:K5"/>
    <mergeCell ref="E4:E5"/>
  </mergeCells>
  <phoneticPr fontId="2" type="noConversion"/>
  <pageMargins left="0.78740157480314965" right="0.31496062992125984" top="0.35433070866141736" bottom="0.51181102362204722" header="0.39370078740157483" footer="0.31496062992125984"/>
  <pageSetup paperSize="9" scale="70" firstPageNumber="1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47</vt:i4>
      </vt:variant>
      <vt:variant>
        <vt:lpstr>Imenovani rasponi</vt:lpstr>
      </vt:variant>
      <vt:variant>
        <vt:i4>13</vt:i4>
      </vt:variant>
    </vt:vector>
  </HeadingPairs>
  <TitlesOfParts>
    <vt:vector size="60" baseType="lpstr">
      <vt:lpstr>Naslovnica</vt:lpstr>
      <vt:lpstr>Sadrzaj</vt:lpstr>
      <vt:lpstr>Uvod</vt:lpstr>
      <vt:lpstr>Prihodi</vt:lpstr>
      <vt:lpstr>Rashodi</vt:lpstr>
      <vt:lpstr>1</vt:lpstr>
      <vt:lpstr>2</vt:lpstr>
      <vt:lpstr>4 (S)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Sumarno</vt:lpstr>
      <vt:lpstr>Funkcijska</vt:lpstr>
      <vt:lpstr>Kap.pror.</vt:lpstr>
      <vt:lpstr>Kraj</vt:lpstr>
      <vt:lpstr>Funkcijska!Ispis_naslova</vt:lpstr>
      <vt:lpstr>Prihodi!Ispis_naslova</vt:lpstr>
      <vt:lpstr>Rashodi!Ispis_naslova</vt:lpstr>
      <vt:lpstr>'15'!Podrucje_ispisa</vt:lpstr>
      <vt:lpstr>'16'!Podrucje_ispisa</vt:lpstr>
      <vt:lpstr>'17'!Podrucje_ispisa</vt:lpstr>
      <vt:lpstr>'21'!Podrucje_ispisa</vt:lpstr>
      <vt:lpstr>Funkcijska!Podrucje_ispisa</vt:lpstr>
      <vt:lpstr>Kraj!Podrucje_ispisa</vt:lpstr>
      <vt:lpstr>Prihodi!Podrucje_ispisa</vt:lpstr>
      <vt:lpstr>Rashodi!Podrucje_ispisa</vt:lpstr>
      <vt:lpstr>Sadrzaj!Podrucje_ispisa</vt:lpstr>
      <vt:lpstr>Uvod!Podrucje_ispisa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operater</dc:creator>
  <cp:lastModifiedBy>Katica Baotic</cp:lastModifiedBy>
  <cp:lastPrinted>2021-12-06T14:40:04Z</cp:lastPrinted>
  <dcterms:created xsi:type="dcterms:W3CDTF">2004-07-23T11:14:23Z</dcterms:created>
  <dcterms:modified xsi:type="dcterms:W3CDTF">2021-12-09T13:45:33Z</dcterms:modified>
</cp:coreProperties>
</file>